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71" windowWidth="19035" windowHeight="4185" activeTab="0"/>
  </bookViews>
  <sheets>
    <sheet name="Kalkulator" sheetId="1" r:id="rId1"/>
    <sheet name="Ceny" sheetId="2" r:id="rId2"/>
  </sheets>
  <definedNames>
    <definedName name="budynki">'Ceny'!$H$57:$H$62</definedName>
    <definedName name="cena">'Ceny'!$F$48</definedName>
    <definedName name="ceny">'Ceny'!$E$49:$E$50</definedName>
    <definedName name="data">'Ceny'!$E$46:$E$46</definedName>
    <definedName name="dopłaty_g">'Ceny'!$A$54:$A$58</definedName>
    <definedName name="dopłaty_tf">'Ceny'!$A$48:$A$51</definedName>
    <definedName name="farby">'Ceny'!$A$3:$A$6</definedName>
    <definedName name="grunty">'Ceny'!$A$7:$A$9</definedName>
    <definedName name="grupy">'Ceny'!$A$48:$A$50</definedName>
    <definedName name="izolacja">'Ceny'!$E$54:$E$74</definedName>
    <definedName name="kleje_1">'Ceny'!$A$10:$A$14</definedName>
    <definedName name="kleje_2">'Ceny'!$A$11:$A$13</definedName>
    <definedName name="_xlnm.Print_Area" localSheetId="0">'Kalkulator'!$A$5:$I$61</definedName>
    <definedName name="produkty">'Ceny'!$A$3:$I$43</definedName>
    <definedName name="siatki">'Ceny'!$A$42:$A$43</definedName>
    <definedName name="ściany">'Ceny'!$H$47:$H$53</definedName>
    <definedName name="tabela_budynki">'Ceny'!$H$57:$J$62</definedName>
    <definedName name="tabela_dopłaty_g">'Ceny'!$A$54:$B$58</definedName>
    <definedName name="tabela_dopłaty_tf">'Ceny'!$A$48:$B$51</definedName>
    <definedName name="tabela_ściany">'Ceny'!$H$47:$I$53</definedName>
    <definedName name="tynki">'Ceny'!$A$15:$A$41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Sławek Zalewski</author>
  </authors>
  <commentList>
    <comment ref="I1" authorId="0">
      <text>
        <r>
          <rPr>
            <b/>
            <sz val="8"/>
            <rFont val="Tahoma"/>
            <family val="2"/>
          </rPr>
          <t>wybierz rodzaj cen do kalkulacji (netto/brutto)</t>
        </r>
      </text>
    </comment>
    <comment ref="C2" authorId="0">
      <text>
        <r>
          <rPr>
            <b/>
            <sz val="8"/>
            <rFont val="Tahoma"/>
            <family val="2"/>
          </rPr>
          <t>wprowadź nazwę i dane dystrybutora</t>
        </r>
        <r>
          <rPr>
            <b/>
            <sz val="8"/>
            <color indexed="16"/>
            <rFont val="Tahoma"/>
            <family val="2"/>
          </rPr>
          <t xml:space="preserve">
</t>
        </r>
        <r>
          <rPr>
            <sz val="8"/>
            <color indexed="23"/>
            <rFont val="Tahoma"/>
            <family val="2"/>
          </rPr>
          <t>dane będą widoczne na wydruku poniżej logo Alpol</t>
        </r>
      </text>
    </comment>
    <comment ref="I2" authorId="0">
      <text>
        <r>
          <rPr>
            <b/>
            <sz val="8"/>
            <rFont val="Tahoma"/>
            <family val="2"/>
          </rPr>
          <t xml:space="preserve">wprowadź rabat procentowy od cen cennikowych Alpol
- </t>
        </r>
        <r>
          <rPr>
            <sz val="8"/>
            <color indexed="23"/>
            <rFont val="Tahoma"/>
            <family val="2"/>
          </rPr>
          <t>wpływa na wysokość cen produktów Alpol w kalkulacji
- nie wpływa na wysokość cen styropianu, łączników i materiałów uzupełniających
- wysokość tego rabatu nie jest widoczna na wydruku</t>
        </r>
      </text>
    </comment>
    <comment ref="I3" authorId="0">
      <text>
        <r>
          <rPr>
            <b/>
            <sz val="8"/>
            <rFont val="Tahoma"/>
            <family val="2"/>
          </rPr>
          <t xml:space="preserve">wprowadź procentowy narzut do cen dla produktów Alpol 
- </t>
        </r>
        <r>
          <rPr>
            <sz val="8"/>
            <color indexed="23"/>
            <rFont val="Tahoma"/>
            <family val="2"/>
          </rPr>
          <t>wpływa na wysokość cen produktów Alpol w kalkulacji
- nie wpływa na wysokość cen styropianu, łączników i materiałów uzupełniających
- wysokość tego narzutu nie jest widoczna na wydruku</t>
        </r>
      </text>
    </comment>
    <comment ref="B5" authorId="0">
      <text>
        <r>
          <rPr>
            <b/>
            <sz val="8"/>
            <rFont val="Tahoma"/>
            <family val="2"/>
          </rPr>
          <t>wprowadź dane odbiorcy kalkulacji</t>
        </r>
      </text>
    </comment>
    <comment ref="B6" authorId="0">
      <text>
        <r>
          <rPr>
            <b/>
            <sz val="8"/>
            <rFont val="Tahoma"/>
            <family val="2"/>
          </rPr>
          <t>wprowadź dane obiektu budowlanego którego dotyczy kalkulacja</t>
        </r>
      </text>
    </comment>
    <comment ref="H6" authorId="0">
      <text>
        <r>
          <rPr>
            <b/>
            <sz val="8"/>
            <rFont val="Tahoma"/>
            <family val="2"/>
          </rPr>
          <t>wprowadź datę sprządzenia kalkulacji</t>
        </r>
      </text>
    </comment>
    <comment ref="D10" authorId="0">
      <text>
        <r>
          <rPr>
            <b/>
            <sz val="8"/>
            <rFont val="Tahoma"/>
            <family val="2"/>
          </rPr>
          <t xml:space="preserve">wprowadź wielkość docieplanej powierzchni
</t>
        </r>
        <r>
          <rPr>
            <sz val="8"/>
            <color indexed="23"/>
            <rFont val="Tahoma"/>
            <family val="2"/>
          </rPr>
          <t>kalkulator przeliczy ilość i wartość materiałów po zaokrągleniu do pełnych opakowań</t>
        </r>
      </text>
    </comment>
    <comment ref="F10" authorId="0">
      <text>
        <r>
          <rPr>
            <b/>
            <sz val="8"/>
            <rFont val="Tahoma"/>
            <family val="2"/>
          </rPr>
          <t xml:space="preserve">wybierz rodaj ocieplanej przegrody
</t>
        </r>
        <r>
          <rPr>
            <sz val="8"/>
            <color indexed="23"/>
            <rFont val="Tahoma"/>
            <family val="2"/>
          </rPr>
          <t>wpływa na prawidłowy dobór ilości łączników mechanicznych</t>
        </r>
      </text>
    </comment>
    <comment ref="D12" authorId="0">
      <text>
        <r>
          <rPr>
            <b/>
            <sz val="8"/>
            <rFont val="Tahoma"/>
            <family val="2"/>
          </rPr>
          <t xml:space="preserve">wybierz z listy lub wprowadź grubość warstwy izolacji termicznej
</t>
        </r>
        <r>
          <rPr>
            <sz val="8"/>
            <rFont val="Tahoma"/>
            <family val="2"/>
          </rPr>
          <t xml:space="preserve">- </t>
        </r>
        <r>
          <rPr>
            <sz val="8"/>
            <color indexed="23"/>
            <rFont val="Tahoma"/>
            <family val="2"/>
          </rPr>
          <t>wpływa na dobór długości łączników mechanicznych
- aby wykonać kalkulację bez uwzgledniania grubości styropianu wpisz "0" 
   lub pozostaw pole nie wypełnione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wybierz rodzaj materiału konstrukcyjnego ocieplanej przegrody
</t>
        </r>
        <r>
          <rPr>
            <sz val="8"/>
            <color indexed="23"/>
            <rFont val="Tahoma"/>
            <family val="2"/>
          </rPr>
          <t>wpływa na prawidłowy dobór rodzaju i długości łączników mechanicznych</t>
        </r>
      </text>
    </comment>
    <comment ref="C16" authorId="0">
      <text>
        <r>
          <rPr>
            <b/>
            <sz val="8"/>
            <rFont val="Tahoma"/>
            <family val="2"/>
          </rPr>
          <t xml:space="preserve">wybierz z listy rodzaj kleju do przyklejania izolacji
</t>
        </r>
        <r>
          <rPr>
            <sz val="8"/>
            <color indexed="23"/>
            <rFont val="Tahoma"/>
            <family val="2"/>
          </rPr>
          <t xml:space="preserve">uwaga - klej zimowy umożliwia pracę w obniżonych temperaturach (od 0 </t>
        </r>
        <r>
          <rPr>
            <sz val="8"/>
            <color indexed="23"/>
            <rFont val="Arial"/>
            <family val="2"/>
          </rPr>
          <t>°C)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wprowadź indywidualny rabat procentowy dla tej pozycji
</t>
        </r>
        <r>
          <rPr>
            <b/>
            <sz val="8"/>
            <color indexed="23"/>
            <rFont val="Tahoma"/>
            <family val="2"/>
          </rPr>
          <t xml:space="preserve">- </t>
        </r>
        <r>
          <rPr>
            <sz val="8"/>
            <color indexed="23"/>
            <rFont val="Tahoma"/>
            <family val="2"/>
          </rPr>
          <t>wpływa na cenę pozycji w kalkulacji
- puste pole oznacza rabat zerowy
- wysokość tego rabatu nie jest widoczna na wydruku</t>
        </r>
      </text>
    </comment>
    <comment ref="C17" authorId="0">
      <text>
        <r>
          <rPr>
            <b/>
            <sz val="8"/>
            <rFont val="Tahoma"/>
            <family val="2"/>
          </rPr>
          <t>wybierz z listy rodzaj siatki zbroącej</t>
        </r>
      </text>
    </comment>
    <comment ref="J17" authorId="0">
      <text>
        <r>
          <rPr>
            <b/>
            <sz val="8"/>
            <rFont val="Tahoma"/>
            <family val="2"/>
          </rPr>
          <t>wprowadź indywidualny rabat procentowy dla tej pozycji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23"/>
            <rFont val="Tahoma"/>
            <family val="2"/>
          </rPr>
          <t>- wpływa na cenę pozycji w kalkulacji
- puste pole oznacza rabat zerowy
- wysokość tego rabatu nie jest widoczna na wydruku</t>
        </r>
      </text>
    </comment>
    <comment ref="C18" authorId="0">
      <text>
        <r>
          <rPr>
            <b/>
            <sz val="8"/>
            <rFont val="Tahoma"/>
            <family val="2"/>
          </rPr>
          <t>wybierz z listy rodzaj kleju do wykonywania warstwy zbrojącej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23"/>
            <rFont val="Tahoma"/>
            <family val="2"/>
          </rPr>
          <t>uwaga - klej zimowy umożliwia pracę w obniżonych temperaturach (od 0 °C)</t>
        </r>
      </text>
    </comment>
    <comment ref="J18" authorId="0">
      <text>
        <r>
          <rPr>
            <b/>
            <sz val="8"/>
            <rFont val="Tahoma"/>
            <family val="2"/>
          </rPr>
          <t>wprowadź indywidualny rabat procentowy dla tej pozycji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23"/>
            <rFont val="Tahoma"/>
            <family val="2"/>
          </rPr>
          <t>- wpływa na cenę pozycji w kalkulacji
- puste pole oznacza rabat zerowy
- wysokość tego rabatu nie jest widoczna na wydruku</t>
        </r>
      </text>
    </comment>
    <comment ref="C20" authorId="0">
      <text>
        <r>
          <rPr>
            <b/>
            <sz val="8"/>
            <rFont val="Tahoma"/>
            <family val="2"/>
          </rPr>
          <t>wybierz z listy rodzaj tynku</t>
        </r>
        <r>
          <rPr>
            <sz val="8"/>
            <color indexed="23"/>
            <rFont val="Tahoma"/>
            <family val="2"/>
          </rPr>
          <t xml:space="preserve">
- dla tynków mineralnych uziarnienie wybranego tynku
  wpływa na wielkość zużycia farby elewacyjnej</t>
        </r>
      </text>
    </comment>
    <comment ref="J20" authorId="0">
      <text>
        <r>
          <rPr>
            <b/>
            <sz val="8"/>
            <rFont val="Tahoma"/>
            <family val="2"/>
          </rPr>
          <t>wprowadź indywidualny rabat procentowy dla tej pozycji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23"/>
            <rFont val="Tahoma"/>
            <family val="2"/>
          </rPr>
          <t>- wpływa na cenę pozycji w kalkulacji
- puste pole oznacza rabat zerowy
- wysokość tego rabatu nie jest widoczna na wydruku</t>
        </r>
      </text>
    </comment>
    <comment ref="C21" authorId="0">
      <text>
        <r>
          <rPr>
            <b/>
            <sz val="8"/>
            <rFont val="Tahoma"/>
            <family val="2"/>
          </rPr>
          <t xml:space="preserve">wybierz grupę kolorystyczną tynku
</t>
        </r>
        <r>
          <rPr>
            <sz val="8"/>
            <color indexed="23"/>
            <rFont val="Tahoma"/>
            <family val="2"/>
          </rPr>
          <t>grupa I - bez dopłat
grupa II - dopłata 10%
grupa III - dopłata 30%
grupa IV - cena indywidualna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color indexed="23"/>
            <rFont val="Tahoma"/>
            <family val="2"/>
          </rPr>
          <t>dla tynków mineralnych opcja nie jest dostęna</t>
        </r>
      </text>
    </comment>
    <comment ref="J22" authorId="0">
      <text>
        <r>
          <rPr>
            <b/>
            <sz val="8"/>
            <rFont val="Tahoma"/>
            <family val="2"/>
          </rPr>
          <t>wprowadź indywidualny rabat procentowy dla tej pozycji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23"/>
            <rFont val="Tahoma"/>
            <family val="2"/>
          </rPr>
          <t>- wpływa na cenę pozycji w kalkulacji
- puste pole oznacza rabat zerowy
- wysokość tego rabatu nie jest widoczna na wydruku</t>
        </r>
      </text>
    </comment>
    <comment ref="C23" authorId="0">
      <text>
        <r>
          <rPr>
            <b/>
            <sz val="8"/>
            <rFont val="Tahoma"/>
            <family val="2"/>
          </rPr>
          <t xml:space="preserve">wybierz grupę kolorystyczną gruntu
</t>
        </r>
        <r>
          <rPr>
            <sz val="8"/>
            <color indexed="23"/>
            <rFont val="Tahoma"/>
            <family val="2"/>
          </rPr>
          <t>biały - bez dopłat
grupa I - dopłata 10%
grupa II - dopłata 20%
grupa III - dopłata 40%
grupa IV - cena indywidualna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color indexed="23"/>
            <rFont val="Tahoma"/>
            <family val="2"/>
          </rPr>
          <t>dla gruntów pod tynki mineralne opcja nie jest dostępna</t>
        </r>
      </text>
    </comment>
    <comment ref="C24" authorId="0">
      <text>
        <r>
          <rPr>
            <b/>
            <sz val="8"/>
            <rFont val="Tahoma"/>
            <family val="2"/>
          </rPr>
          <t xml:space="preserve">wybierz rodzaj farby elewacyjnej
</t>
        </r>
        <r>
          <rPr>
            <sz val="8"/>
            <color indexed="23"/>
            <rFont val="Tahoma"/>
            <family val="2"/>
          </rPr>
          <t>opcja dostępna po wybraniu tynków mineralnych</t>
        </r>
      </text>
    </comment>
    <comment ref="J24" authorId="0">
      <text>
        <r>
          <rPr>
            <b/>
            <sz val="8"/>
            <rFont val="Tahoma"/>
            <family val="2"/>
          </rPr>
          <t>wprowadź indywidualny rabat procentowy dla tej pozycji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23"/>
            <rFont val="Tahoma"/>
            <family val="2"/>
          </rPr>
          <t>- wpływa na cenę pozycji w kalkulacji
- puste pole oznacza rabat zerowy
- wysokość tego rabatu nie jest widoczna na wydruku</t>
        </r>
      </text>
    </comment>
    <comment ref="C25" authorId="0">
      <text>
        <r>
          <rPr>
            <b/>
            <sz val="8"/>
            <rFont val="Tahoma"/>
            <family val="2"/>
          </rPr>
          <t>wybierz grupę kolorystyczną farby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23"/>
            <rFont val="Tahoma"/>
            <family val="2"/>
          </rPr>
          <t>grupa I - bez dopłat
grupa II - dopłata 10%
grupa III - dopłata 30%
grupa IV - cena indywidualna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23"/>
            <rFont val="Tahoma"/>
            <family val="2"/>
          </rPr>
          <t>opcja dostępna po wybraniu tynków mineralnych</t>
        </r>
      </text>
    </comment>
    <comment ref="F31" authorId="0">
      <text>
        <r>
          <rPr>
            <b/>
            <sz val="8"/>
            <rFont val="Tahoma"/>
            <family val="2"/>
          </rPr>
          <t xml:space="preserve">wprowadź procentowy rabat ogólny na system
</t>
        </r>
        <r>
          <rPr>
            <sz val="8"/>
            <color indexed="23"/>
            <rFont val="Tahoma"/>
            <family val="2"/>
          </rPr>
          <t>wpływa na wartość łączną produktów Alpol oraz na ceny produktów Alpol w zestawieniu ilościowo-wartościowym materiałów</t>
        </r>
      </text>
    </comment>
    <comment ref="F38" authorId="0">
      <text>
        <r>
          <rPr>
            <b/>
            <sz val="8"/>
            <rFont val="Tahoma"/>
            <family val="2"/>
          </rPr>
          <t>wybierz z listy wielkość zakładanego zużycia styropianu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23"/>
            <rFont val="Tahoma"/>
            <family val="2"/>
          </rPr>
          <t>1,00 - zużycie labolatoryjne lub dla 1m2 ocieplenia "wyciętego" z większej powierzchni
1,03 - zużycie właściwe dla większości typowych budynków mieszkalnych
1,05 - zużycie właściwe dla budynków o złożonej architekturze np. dużej liczbie okien</t>
        </r>
      </text>
    </comment>
    <comment ref="J38" authorId="0">
      <text>
        <r>
          <rPr>
            <b/>
            <sz val="8"/>
            <rFont val="Tahoma"/>
            <family val="2"/>
          </rPr>
          <t>wprowadź rabat procentowy od ceny styropianu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23"/>
            <rFont val="Tahoma"/>
            <family val="2"/>
          </rPr>
          <t>- wpływa na wysokość ceny styropianu w kalkulacji
- rabat liczony jest od ceny wprowadzonej obok w polu "Cena netto"
- wielkość procentowa tego rabatu nie jest widoczna na wydruku</t>
        </r>
      </text>
    </comment>
    <comment ref="K38" authorId="0">
      <text>
        <r>
          <rPr>
            <b/>
            <sz val="8"/>
            <rFont val="Tahoma"/>
            <family val="2"/>
          </rPr>
          <t xml:space="preserve">wprowadź cenę netto 1 m2 styropianu
</t>
        </r>
        <r>
          <rPr>
            <sz val="8"/>
            <color indexed="23"/>
            <rFont val="Tahoma"/>
            <family val="2"/>
          </rPr>
          <t>- w przypadku nie ustalonej grubości izolacji,
  opcja nie jest aktywna
- wysokość tej ceny nie jest widoczna na wydruku</t>
        </r>
      </text>
    </comment>
    <comment ref="J39" authorId="0">
      <text>
        <r>
          <rPr>
            <b/>
            <sz val="8"/>
            <rFont val="Tahoma"/>
            <family val="2"/>
          </rPr>
          <t>wprowadź rabat procentowy od ceny łączników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23"/>
            <rFont val="Tahoma"/>
            <family val="2"/>
          </rPr>
          <t>- wpływa na wysokość ceny łączników mechanicznych w kalkulacji
- rabat liczony jest od ceny wprowadzonej obok w polu "Cena netto"
- wielkość procentowa tego rabatu nie jest widoczna na wydruku</t>
        </r>
      </text>
    </comment>
    <comment ref="K39" authorId="0">
      <text>
        <r>
          <rPr>
            <b/>
            <sz val="8"/>
            <rFont val="Tahoma"/>
            <family val="2"/>
          </rPr>
          <t xml:space="preserve">wprowadź cenę netto jednego łącznika
</t>
        </r>
        <r>
          <rPr>
            <sz val="8"/>
            <color indexed="23"/>
            <rFont val="Tahoma"/>
            <family val="2"/>
          </rPr>
          <t>- wysokość tej ceny nie jest widoczna na wydruku</t>
        </r>
      </text>
    </comment>
    <comment ref="H41" authorId="0">
      <text>
        <r>
          <rPr>
            <b/>
            <sz val="8"/>
            <rFont val="Tahoma"/>
            <family val="2"/>
          </rPr>
          <t xml:space="preserve">wprowadź szacunkową cenę materiałów uzupełniających
</t>
        </r>
        <r>
          <rPr>
            <sz val="8"/>
            <color indexed="23"/>
            <rFont val="Tahoma"/>
            <family val="2"/>
          </rPr>
          <t>koszt narożników, listew, profili, silikonu, dodatkowej siatki zbrojącej, itp. w przeliczeniu na 1 m2 powierzchni docieplenia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wprowadź cenę za 1 kg tynku
</t>
        </r>
        <r>
          <rPr>
            <sz val="8"/>
            <color indexed="23"/>
            <rFont val="Tahoma"/>
            <family val="2"/>
          </rPr>
          <t>- opcja dostępna dla kolorów tynków grupy IV
- wysokość tej ceny nie jest widoczna na wydruku</t>
        </r>
      </text>
    </comment>
    <comment ref="K22" authorId="0">
      <text>
        <r>
          <rPr>
            <b/>
            <sz val="8"/>
            <rFont val="Tahoma"/>
            <family val="2"/>
          </rPr>
          <t xml:space="preserve">wprowadź cenę za 1 kg gruntu
</t>
        </r>
        <r>
          <rPr>
            <sz val="8"/>
            <color indexed="23"/>
            <rFont val="Tahoma"/>
            <family val="2"/>
          </rPr>
          <t>- opcja dostępna dla kolorów gruntów grupy IV
- wysokość tej ceny nie jest widoczna na wydruku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wprowadź cenę za 1 litr farby
</t>
        </r>
        <r>
          <rPr>
            <sz val="8"/>
            <color indexed="23"/>
            <rFont val="Tahoma"/>
            <family val="2"/>
          </rPr>
          <t>- opcja dostępna dla kolorów farb grupy IV
- wysokość tej ceny nie jest widoczna na wydruku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wybierz z listy wielkość zużycia kleju do klejenia styropianu
</t>
        </r>
        <r>
          <rPr>
            <sz val="8"/>
            <color indexed="23"/>
            <rFont val="Tahoma"/>
            <family val="2"/>
          </rPr>
          <t>3,0 kg/m2 - zużycie dla bardzo równego podłoża
3,5 kg/m2 - zużycie dla podłoża o niewielkich nierównościach (standardowe)
4,0 kg/m2 - zużycie dla podłoża o większych nierównościach płaszczyzny (do 1,5 cm)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wybierz z listy wielkość zakładanego zużycia siatki zbrojącej
</t>
        </r>
        <r>
          <rPr>
            <sz val="8"/>
            <color indexed="23"/>
            <rFont val="Tahoma"/>
            <family val="2"/>
          </rPr>
          <t>1,10 - zużycie labolatoryjne lub dla 1m2 ocieplenia "wyciętego" z większej powierzchni
1,15 - zużycie właściwe dla większości typowych budynków mieszkalnych
1,20 - zużycie właściwe dla budynków o złożonej architekturze np. dużej liczbie okien</t>
        </r>
      </text>
    </comment>
    <comment ref="F18" authorId="0">
      <text>
        <r>
          <rPr>
            <b/>
            <sz val="8"/>
            <rFont val="Tahoma"/>
            <family val="2"/>
          </rPr>
          <t xml:space="preserve">wybierz z listy wielkość zużycia kleju do zatapiania siatki zbrojącej
</t>
        </r>
        <r>
          <rPr>
            <sz val="8"/>
            <color indexed="23"/>
            <rFont val="Tahoma"/>
            <family val="2"/>
          </rPr>
          <t>3,5 kg/m2 - zużycie dla bardzo równego podłoża
4,0  kg/m2 - zużycie dla podłoża o niewielkich nierównościach (standardowe)
4,5 kg/m2 - zużycie dla podłoża o większych nierównościach płaszczyzny</t>
        </r>
      </text>
    </comment>
  </commentList>
</comments>
</file>

<file path=xl/sharedStrings.xml><?xml version="1.0" encoding="utf-8"?>
<sst xmlns="http://schemas.openxmlformats.org/spreadsheetml/2006/main" count="242" uniqueCount="180">
  <si>
    <t>zużycie</t>
  </si>
  <si>
    <t>jedn.</t>
  </si>
  <si>
    <t>cena</t>
  </si>
  <si>
    <t>m2</t>
  </si>
  <si>
    <t>kg</t>
  </si>
  <si>
    <t>litr</t>
  </si>
  <si>
    <t>dopłaty do koloru tynków i farb</t>
  </si>
  <si>
    <t>dopłaty do gruntów</t>
  </si>
  <si>
    <t>%/100</t>
  </si>
  <si>
    <t>[%]</t>
  </si>
  <si>
    <t>data</t>
  </si>
  <si>
    <t>Materiały konstrukcyjne ścian</t>
  </si>
  <si>
    <t>zakotwienia</t>
  </si>
  <si>
    <t>głębokość</t>
  </si>
  <si>
    <t>Rodzaje budynku</t>
  </si>
  <si>
    <t>ilość</t>
  </si>
  <si>
    <t>łączników</t>
  </si>
  <si>
    <t>grubość</t>
  </si>
  <si>
    <t>tynku</t>
  </si>
  <si>
    <t>grubości</t>
  </si>
  <si>
    <t>izolacji</t>
  </si>
  <si>
    <t>współczynnik</t>
  </si>
  <si>
    <t>zużycia</t>
  </si>
  <si>
    <t>farby</t>
  </si>
  <si>
    <t xml:space="preserve">w zależnosci </t>
  </si>
  <si>
    <t>od tynku</t>
  </si>
  <si>
    <t>grunty w zalezności od tynku</t>
  </si>
  <si>
    <t>z rabatem</t>
  </si>
  <si>
    <t>ceny</t>
  </si>
  <si>
    <t>10 litr</t>
  </si>
  <si>
    <t>Język</t>
  </si>
  <si>
    <t>PLN</t>
  </si>
  <si>
    <t>EUR</t>
  </si>
  <si>
    <t>CENY</t>
  </si>
  <si>
    <t>Alpol Gips Sp. z o.o.</t>
  </si>
  <si>
    <t>Fidor, PL 26-200 Końskie,  tel +48 41 372 11 00</t>
  </si>
  <si>
    <t>stawka VAT:</t>
  </si>
  <si>
    <t>bez tynku - wysokość od 8 do 20 m.</t>
  </si>
  <si>
    <t>cegła ceramiczna szczelinowa</t>
  </si>
  <si>
    <t>ALPOL 145 - siatka z włókna szklanego</t>
  </si>
  <si>
    <t>AK 532 - Klej do ociepleń na styropianie</t>
  </si>
  <si>
    <t>AF 660 - Farba elewacyjna silikatowa x 2</t>
  </si>
  <si>
    <t>grupa I - kolory pastelowe (bez dopłaty)</t>
  </si>
  <si>
    <t>biały - bez dopłaty</t>
  </si>
  <si>
    <t>netto</t>
  </si>
  <si>
    <t>Nazwa odbiorcy kalkulacji</t>
  </si>
  <si>
    <t xml:space="preserve">Nazwa projektu, Ulica, Miejscowość </t>
  </si>
  <si>
    <t>Nazwa produktu</t>
  </si>
  <si>
    <t>Opako-</t>
  </si>
  <si>
    <t>wanie</t>
  </si>
  <si>
    <t>grupa II - kolory intensywne (dopłata 10%)</t>
  </si>
  <si>
    <t>AK 530 - Klej do styropianu</t>
  </si>
  <si>
    <t>AT 351 - Tynk akrylowy baranek 1,5 mm</t>
  </si>
  <si>
    <t>Polski</t>
  </si>
  <si>
    <t>Kalkulator systemu ociepleń</t>
  </si>
  <si>
    <t>Kalkulacja wg. cen:</t>
  </si>
  <si>
    <t>brutto</t>
  </si>
  <si>
    <t>Cena netto</t>
  </si>
  <si>
    <t>Cena brutto</t>
  </si>
  <si>
    <t>[PLN]</t>
  </si>
  <si>
    <t>Dystrybutor:</t>
  </si>
  <si>
    <t>Nazwa dystrybutora Alpol</t>
  </si>
  <si>
    <t>Adres dystrybutora, telefon, kontakt</t>
  </si>
  <si>
    <t>Rabat dustrybutora [%]:</t>
  </si>
  <si>
    <t>Narzut dystrybutora [%]:</t>
  </si>
  <si>
    <t>Kalkulacja dla:</t>
  </si>
  <si>
    <t>Projekt:</t>
  </si>
  <si>
    <t xml:space="preserve">Nazwa inwestycji, Ulica, Miejscowość </t>
  </si>
  <si>
    <t>data sporządzenia</t>
  </si>
  <si>
    <t>SYSTEM DOCIEPLANIA ŚCIAN</t>
  </si>
  <si>
    <t>docieplenie ścian zewnętrznych z zastosowaniem styropianu</t>
  </si>
  <si>
    <t>Powierzchnia ocieplenia [m2]:</t>
  </si>
  <si>
    <t>Grubość materiału izolacji [cm]:</t>
  </si>
  <si>
    <t>Rodzaj i parametry ściany:</t>
  </si>
  <si>
    <t>bez tynku - wysokość do 8 m.</t>
  </si>
  <si>
    <t>bez tynku - wysokość od 20 do 25 m.</t>
  </si>
  <si>
    <t>z tynkiem - wysokość do 8m.</t>
  </si>
  <si>
    <t>z tynkiem - wysokość od 8 do 20 m.</t>
  </si>
  <si>
    <t>z tynkiem - wysokość od 20 do 25 m.</t>
  </si>
  <si>
    <t>Materiał konstrukcyjny ściany:</t>
  </si>
  <si>
    <t>beton</t>
  </si>
  <si>
    <t>cegła pełna</t>
  </si>
  <si>
    <t>cegła silikatowa szczelinowa</t>
  </si>
  <si>
    <t>pustak z ceramiki poryzowanej</t>
  </si>
  <si>
    <t>pustak z betonu lekkiego</t>
  </si>
  <si>
    <t>bloczki z betonu komórkowego</t>
  </si>
  <si>
    <t>Zużycie</t>
  </si>
  <si>
    <t>na</t>
  </si>
  <si>
    <t>1m2</t>
  </si>
  <si>
    <t>Jedn.</t>
  </si>
  <si>
    <t>Cena</t>
  </si>
  <si>
    <t>Rabaty</t>
  </si>
  <si>
    <t>od pozycji</t>
  </si>
  <si>
    <t>Materiały warstwy izolacyjno- zbrojeniowej</t>
  </si>
  <si>
    <t>Klej do przyklejania płyt</t>
  </si>
  <si>
    <t>Siatka zbrojąca</t>
  </si>
  <si>
    <t>Klej do zatapiania siatki</t>
  </si>
  <si>
    <t>Materiały wyprawy elewacyjnej</t>
  </si>
  <si>
    <t>Tynk dekoracyjny</t>
  </si>
  <si>
    <t>Dopłata do koloru tynku</t>
  </si>
  <si>
    <t>Grunt podtynkowy</t>
  </si>
  <si>
    <t>Dopłata do koloru gruntu</t>
  </si>
  <si>
    <t>Farba elewacyjna</t>
  </si>
  <si>
    <t>Dopłata do koloru farby</t>
  </si>
  <si>
    <t>grupa III - kolory nasycone (dopłata 30%)</t>
  </si>
  <si>
    <t>grupa IV - wycena indywidualna</t>
  </si>
  <si>
    <t>grupa I - kolory pastelowe (dopłata 10%)</t>
  </si>
  <si>
    <t>grupa II - kolory intensywne (dopłata 20%)</t>
  </si>
  <si>
    <t>grupa III - kolory nasycone (dopłata 40%)</t>
  </si>
  <si>
    <t>RAZEM:</t>
  </si>
  <si>
    <t>RABAT NA SYSTEM:</t>
  </si>
  <si>
    <t>RAZEM MATERIAŁY ALPOL Z RABATEM:</t>
  </si>
  <si>
    <t>DYSTRYBUCJA:</t>
  </si>
  <si>
    <t>Materiał izolacji termicznej</t>
  </si>
  <si>
    <t>łączniki mechaniczne i materiały uzupełniające</t>
  </si>
  <si>
    <t>Rabat</t>
  </si>
  <si>
    <t>Izolacja termiczna</t>
  </si>
  <si>
    <t>Płyty styropianowe EPS 70-040</t>
  </si>
  <si>
    <t>Łączniki mechaniczne</t>
  </si>
  <si>
    <t>Łącznik z trzpieniem wbijanym</t>
  </si>
  <si>
    <t>długości min.</t>
  </si>
  <si>
    <t>cm</t>
  </si>
  <si>
    <t>Materiały uzupełniające</t>
  </si>
  <si>
    <t>Cena szacunkowa na 1 m2 powierzchni ocieplenia</t>
  </si>
  <si>
    <t>ZESTAWIENIE ILOŚCIOWO-WARTOŚCIOWE MATERIAŁÓW</t>
  </si>
  <si>
    <t>ceny materiałów z rabatem, po przeliczeniu na pełne opakowania</t>
  </si>
  <si>
    <t>Materiały na</t>
  </si>
  <si>
    <t>m2 powierzchni docieplenia</t>
  </si>
  <si>
    <t>ceny netto</t>
  </si>
  <si>
    <t>ceny brutto</t>
  </si>
  <si>
    <t>Ilość</t>
  </si>
  <si>
    <t>Wartość</t>
  </si>
  <si>
    <t>wartość szacunkowa na</t>
  </si>
  <si>
    <t>m2 pow. ocieplenia</t>
  </si>
  <si>
    <t>Uwaga: Kalkulacja nie uwzględnia dopłat</t>
  </si>
  <si>
    <t>do tynków, gruntów i farb w kolorach grupy IV</t>
  </si>
  <si>
    <t>- bez farby</t>
  </si>
  <si>
    <t>AF 640 - Farba elewacyjna akrylowa x 2</t>
  </si>
  <si>
    <t>AF 680 - Farba elewacyjna silikonowa x 2</t>
  </si>
  <si>
    <t>AG 701 - Grunt pod tynki mineralne</t>
  </si>
  <si>
    <t>AG 705 - Grunt pod tynki akrylowe</t>
  </si>
  <si>
    <t>AG 706 - Grunt pod tynki krzemianowe</t>
  </si>
  <si>
    <t>AK 531- Klej do ociepleń biały</t>
  </si>
  <si>
    <t>AK 534 - Klej do ociepleń zimowy</t>
  </si>
  <si>
    <t>AH 741 - Klej bitumiczny</t>
  </si>
  <si>
    <t>AT 320 - Tynk mineralny biały baranek 1,5 mm</t>
  </si>
  <si>
    <t>AT 321 - Tynk mineralny biały kornik 2 mm</t>
  </si>
  <si>
    <t>AT 322 - Tynk mineralny biały kornik 3 mm</t>
  </si>
  <si>
    <t>AT 325 - Tynk mineralny extra, biały baranek 1,5 mm</t>
  </si>
  <si>
    <t>AT 326 - Tynk mineralny extra, biały baranek 2 mm</t>
  </si>
  <si>
    <t>AT 327 - Tynk mineralny extra, biały baranek 2,5 mm</t>
  </si>
  <si>
    <t>AT 330 - Tynk mineralny szary baranek 1,5 mm</t>
  </si>
  <si>
    <t>AT 331 - Tynk mineralny szary kornik 2 mm</t>
  </si>
  <si>
    <t>AT 332 - Tynk mineralny szary kornik 3 mm</t>
  </si>
  <si>
    <t>AT 336 - Tynk mineralny extra, szary baranek 2 mm</t>
  </si>
  <si>
    <t>AT 338 - Tynk mineralny extra, szary baranek 3 mm</t>
  </si>
  <si>
    <t>AT 350 - Tynk akrylowy baranek 1 mm</t>
  </si>
  <si>
    <t>AT 352 - Tynk akrylowy baranek 2 mm</t>
  </si>
  <si>
    <t>AT 356 - Tynk akrylowy kornik 1,5 mm</t>
  </si>
  <si>
    <t>AT 357 - Tynk akrylowy kornik 2 mm</t>
  </si>
  <si>
    <t>AT 358 - Tynk akrylowy kornik 2,5 mm</t>
  </si>
  <si>
    <t>AT 370 - Tynk silikatowo-silikonowy baranek 1 mm</t>
  </si>
  <si>
    <t>AT 371 - Tynk silikatowo-silikonowy baranek 1,5 mm</t>
  </si>
  <si>
    <t>AT 372 - Tynk silikatowo-silikonowy baranek 2 mm</t>
  </si>
  <si>
    <t>AT 376 - Tynk silikatowo-silikonowy kornik 1,5 mm</t>
  </si>
  <si>
    <t>AT 377 - Tynk silikatowo-silikonowy kornik 2 mm</t>
  </si>
  <si>
    <t>AT 378 - Tynk silikatowo-silikonowy kornik 2,5 mm</t>
  </si>
  <si>
    <t>AT 390 - Tynk mozaikowy naturalny 1,2 mm</t>
  </si>
  <si>
    <t>AT 391 - Tynk mozaikowy naturalny 2,5 mm</t>
  </si>
  <si>
    <t>AT 397 - Tynk mozaikowy barwiony 2,5 mm</t>
  </si>
  <si>
    <t>AT 397 Express - Tynk mozaikowy barwiony 1,6 mm</t>
  </si>
  <si>
    <t>VERTEX AKE 145A - siatka z włókna szklanego</t>
  </si>
  <si>
    <t>tnki    grunty   farby   grupa IV</t>
  </si>
  <si>
    <t>szt.</t>
  </si>
  <si>
    <t>1000 szt.</t>
  </si>
  <si>
    <t>m3</t>
  </si>
  <si>
    <t>Cennik:</t>
  </si>
  <si>
    <t>PL 01.05.2010</t>
  </si>
  <si>
    <t>- wersja 2010.05 PL</t>
  </si>
  <si>
    <t>Cennik:  PL 01.05.2010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</si>
</sst>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  <numFmt numFmtId="166" formatCode="dd/mm/yyyy;@"/>
    <numFmt numFmtId="167" formatCode="d/mm/yyyy;@"/>
    <numFmt numFmtId="168" formatCode="yyyy/mm/dd;@"/>
    <numFmt numFmtId="169" formatCode="0.0%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color indexed="16"/>
      <name val="Arial"/>
      <family val="2"/>
    </font>
    <font>
      <b/>
      <sz val="8"/>
      <name val="Arial"/>
      <family val="2"/>
    </font>
    <font>
      <sz val="9"/>
      <color indexed="22"/>
      <name val="Arial"/>
      <family val="2"/>
    </font>
    <font>
      <sz val="9"/>
      <color indexed="12"/>
      <name val="Arial"/>
      <family val="2"/>
    </font>
    <font>
      <b/>
      <sz val="8"/>
      <name val="Tahoma"/>
      <family val="2"/>
    </font>
    <font>
      <sz val="8"/>
      <color indexed="23"/>
      <name val="Tahom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8"/>
      <color indexed="16"/>
      <name val="Tahoma"/>
      <family val="2"/>
    </font>
    <font>
      <sz val="8"/>
      <name val="Tahoma"/>
      <family val="2"/>
    </font>
    <font>
      <sz val="8"/>
      <color indexed="23"/>
      <name val="Arial"/>
      <family val="2"/>
    </font>
    <font>
      <b/>
      <sz val="8"/>
      <color indexed="23"/>
      <name val="Tahoma"/>
      <family val="2"/>
    </font>
    <font>
      <sz val="9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0"/>
      <color indexed="5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206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</fills>
  <borders count="1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5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55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55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55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22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2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5"/>
      </left>
      <right style="thick">
        <color indexed="55"/>
      </right>
      <top style="thin">
        <color indexed="9"/>
      </top>
      <bottom>
        <color indexed="63"/>
      </bottom>
    </border>
    <border>
      <left style="thin">
        <color indexed="55"/>
      </left>
      <right style="thick">
        <color indexed="55"/>
      </right>
      <top style="thin">
        <color indexed="9"/>
      </top>
      <bottom style="thick">
        <color indexed="55"/>
      </bottom>
    </border>
    <border>
      <left style="thick">
        <color indexed="55"/>
      </left>
      <right>
        <color indexed="63"/>
      </right>
      <top style="thin"/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ck">
        <color indexed="55"/>
      </right>
      <top>
        <color indexed="63"/>
      </top>
      <bottom style="thick">
        <color indexed="55"/>
      </bottom>
    </border>
    <border>
      <left style="thick">
        <color indexed="55"/>
      </left>
      <right style="thick">
        <color indexed="55"/>
      </right>
      <top>
        <color indexed="63"/>
      </top>
      <bottom style="thick">
        <color indexed="55"/>
      </bottom>
    </border>
    <border>
      <left style="thin">
        <color indexed="55"/>
      </left>
      <right style="thick">
        <color indexed="55"/>
      </right>
      <top>
        <color indexed="63"/>
      </top>
      <bottom>
        <color indexed="63"/>
      </bottom>
    </border>
    <border>
      <left style="thick">
        <color indexed="55"/>
      </left>
      <right style="thick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9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9"/>
      </bottom>
    </border>
    <border>
      <left style="thin">
        <color indexed="12"/>
      </left>
      <right style="thin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ck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55"/>
      </left>
      <right style="thick">
        <color indexed="55"/>
      </right>
      <top style="thin">
        <color indexed="9"/>
      </top>
      <bottom style="thin">
        <color indexed="55"/>
      </bottom>
    </border>
    <border>
      <left style="thick">
        <color indexed="55"/>
      </left>
      <right style="thick">
        <color indexed="55"/>
      </right>
      <top style="thin">
        <color indexed="9"/>
      </top>
      <bottom style="thick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ck">
        <color indexed="55"/>
      </right>
      <top style="thick">
        <color indexed="55"/>
      </top>
      <bottom>
        <color indexed="63"/>
      </bottom>
    </border>
    <border>
      <left style="thin">
        <color indexed="55"/>
      </left>
      <right style="thick">
        <color indexed="55"/>
      </right>
      <top>
        <color indexed="63"/>
      </top>
      <bottom style="thin">
        <color indexed="55"/>
      </bottom>
    </border>
    <border>
      <left style="thick">
        <color indexed="55"/>
      </left>
      <right style="thick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ck">
        <color indexed="55"/>
      </right>
      <top>
        <color indexed="63"/>
      </top>
      <bottom style="thin">
        <color indexed="22"/>
      </bottom>
    </border>
    <border>
      <left style="thin">
        <color indexed="55"/>
      </left>
      <right style="thick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ck">
        <color indexed="55"/>
      </right>
      <top style="thin">
        <color indexed="22"/>
      </top>
      <bottom>
        <color indexed="63"/>
      </bottom>
    </border>
    <border>
      <left style="thin">
        <color indexed="55"/>
      </left>
      <right style="thick">
        <color indexed="55"/>
      </right>
      <top style="thin">
        <color indexed="55"/>
      </top>
      <bottom style="thin">
        <color indexed="9"/>
      </bottom>
    </border>
    <border>
      <left style="thin">
        <color indexed="55"/>
      </left>
      <right style="thick">
        <color indexed="55"/>
      </right>
      <top style="thin">
        <color indexed="23"/>
      </top>
      <bottom style="thin">
        <color indexed="22"/>
      </bottom>
    </border>
    <border>
      <left style="thin">
        <color indexed="55"/>
      </left>
      <right style="thick">
        <color indexed="55"/>
      </right>
      <top style="thin">
        <color indexed="22"/>
      </top>
      <bottom style="thin">
        <color indexed="9"/>
      </bottom>
    </border>
    <border>
      <left style="thick">
        <color indexed="55"/>
      </left>
      <right style="thick">
        <color indexed="55"/>
      </right>
      <top style="thin">
        <color indexed="23"/>
      </top>
      <bottom style="thin">
        <color indexed="22"/>
      </bottom>
    </border>
    <border>
      <left style="thick">
        <color indexed="55"/>
      </left>
      <right style="thick">
        <color indexed="55"/>
      </right>
      <top style="thin">
        <color indexed="22"/>
      </top>
      <bottom style="thin">
        <color indexed="9"/>
      </bottom>
    </border>
    <border>
      <left style="thin">
        <color indexed="55"/>
      </left>
      <right style="thick">
        <color indexed="55"/>
      </right>
      <top>
        <color indexed="63"/>
      </top>
      <bottom style="thin">
        <color indexed="2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9"/>
      </right>
      <top style="thin">
        <color indexed="55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55"/>
      </top>
      <bottom style="thin">
        <color indexed="9"/>
      </bottom>
    </border>
    <border>
      <left style="thin">
        <color indexed="55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5"/>
      </left>
      <right style="thin">
        <color indexed="9"/>
      </right>
      <top style="thin">
        <color indexed="9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2"/>
      </left>
      <right style="thin">
        <color indexed="62"/>
      </right>
      <top style="hair">
        <color indexed="12"/>
      </top>
      <bottom style="hair">
        <color indexed="62"/>
      </bottom>
    </border>
    <border>
      <left style="thin">
        <color indexed="62"/>
      </left>
      <right style="thin">
        <color indexed="62"/>
      </right>
      <top style="hair">
        <color indexed="62"/>
      </top>
      <bottom style="hair">
        <color indexed="62"/>
      </bottom>
    </border>
    <border>
      <left style="thin">
        <color indexed="62"/>
      </left>
      <right style="thin">
        <color indexed="62"/>
      </right>
      <top style="hair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hair">
        <color indexed="62"/>
      </top>
      <bottom>
        <color indexed="63"/>
      </bottom>
    </border>
    <border>
      <left style="thin">
        <color indexed="12"/>
      </left>
      <right style="thin">
        <color indexed="12"/>
      </right>
      <top style="hair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62"/>
      </top>
      <bottom style="hair">
        <color indexed="1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 style="hair">
        <color indexed="62"/>
      </bottom>
    </border>
    <border>
      <left style="thin">
        <color indexed="12"/>
      </left>
      <right style="thin">
        <color indexed="12"/>
      </right>
      <top style="thin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hair">
        <color indexed="12"/>
      </bottom>
    </border>
    <border>
      <left style="thin">
        <color indexed="62"/>
      </left>
      <right style="thin">
        <color indexed="62"/>
      </right>
      <top style="thin">
        <color indexed="62"/>
      </top>
      <bottom style="hair">
        <color indexed="12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ck">
        <color indexed="55"/>
      </right>
      <top style="thin">
        <color theme="0" tint="-0.149959996342659"/>
      </top>
      <bottom style="thick">
        <color indexed="55"/>
      </bottom>
    </border>
    <border>
      <left style="thin">
        <color indexed="22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22"/>
      </left>
      <right style="thin">
        <color indexed="9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55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9"/>
      </top>
      <bottom style="thin">
        <color indexed="55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55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 style="thin">
        <color theme="0"/>
      </right>
      <top>
        <color indexed="63"/>
      </top>
      <bottom style="thick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55"/>
      </top>
      <bottom style="thin">
        <color indexed="9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9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55"/>
      </top>
      <bottom style="thin">
        <color indexed="9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55"/>
      </right>
      <top style="thin">
        <color indexed="55"/>
      </top>
      <bottom style="thin">
        <color indexed="9"/>
      </bottom>
    </border>
    <border>
      <left style="thin">
        <color indexed="55"/>
      </left>
      <right>
        <color indexed="63"/>
      </right>
      <top style="thin">
        <color indexed="9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22"/>
      </top>
      <bottom>
        <color indexed="63"/>
      </bottom>
    </border>
    <border>
      <left style="thin">
        <color indexed="55"/>
      </left>
      <right style="thin">
        <color indexed="22"/>
      </right>
      <top style="thin">
        <color indexed="9"/>
      </top>
      <bottom style="thin">
        <color indexed="9"/>
      </bottom>
    </border>
    <border>
      <left style="thin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55"/>
      </left>
      <right style="thin">
        <color indexed="22"/>
      </right>
      <top>
        <color indexed="63"/>
      </top>
      <bottom style="thin">
        <color indexed="55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indexed="55"/>
      </right>
      <top>
        <color indexed="63"/>
      </top>
      <bottom style="thin">
        <color theme="0"/>
      </bottom>
    </border>
    <border>
      <left style="thin">
        <color indexed="55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22"/>
      </right>
      <top style="thin">
        <color indexed="9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9"/>
      </top>
      <bottom style="thin">
        <color indexed="55"/>
      </bottom>
    </border>
    <border>
      <left>
        <color indexed="63"/>
      </left>
      <right style="thin">
        <color indexed="22"/>
      </right>
      <top style="thin">
        <color indexed="9"/>
      </top>
      <bottom style="thin">
        <color indexed="55"/>
      </bottom>
    </border>
    <border>
      <left>
        <color indexed="63"/>
      </left>
      <right>
        <color indexed="63"/>
      </right>
      <top style="thin">
        <color theme="0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indexed="9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 style="thick">
        <color indexed="55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 style="thin">
        <color indexed="62"/>
      </left>
      <right style="thin">
        <color rgb="FF9999FF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rgb="FF9999FF"/>
      </right>
      <top>
        <color indexed="63"/>
      </top>
      <bottom style="thin">
        <color indexed="62"/>
      </bottom>
    </border>
    <border>
      <left style="thin">
        <color rgb="FF9999FF"/>
      </left>
      <right style="thin">
        <color indexed="62"/>
      </right>
      <top style="thin">
        <color indexed="12"/>
      </top>
      <bottom>
        <color indexed="63"/>
      </bottom>
    </border>
    <border>
      <left style="thin">
        <color rgb="FF9999FF"/>
      </left>
      <right style="thin">
        <color indexed="62"/>
      </right>
      <top>
        <color indexed="63"/>
      </top>
      <bottom style="thin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13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33" borderId="10" xfId="0" applyFont="1" applyFill="1" applyBorder="1" applyAlignment="1">
      <alignment/>
    </xf>
    <xf numFmtId="2" fontId="6" fillId="33" borderId="11" xfId="0" applyNumberFormat="1" applyFont="1" applyFill="1" applyBorder="1" applyAlignment="1">
      <alignment/>
    </xf>
    <xf numFmtId="2" fontId="6" fillId="33" borderId="12" xfId="0" applyNumberFormat="1" applyFont="1" applyFill="1" applyBorder="1" applyAlignment="1">
      <alignment horizontal="center"/>
    </xf>
    <xf numFmtId="2" fontId="6" fillId="33" borderId="12" xfId="0" applyNumberFormat="1" applyFont="1" applyFill="1" applyBorder="1" applyAlignment="1">
      <alignment/>
    </xf>
    <xf numFmtId="2" fontId="6" fillId="33" borderId="13" xfId="0" applyNumberFormat="1" applyFont="1" applyFill="1" applyBorder="1" applyAlignment="1">
      <alignment/>
    </xf>
    <xf numFmtId="2" fontId="6" fillId="33" borderId="14" xfId="0" applyNumberFormat="1" applyFont="1" applyFill="1" applyBorder="1" applyAlignment="1">
      <alignment/>
    </xf>
    <xf numFmtId="2" fontId="6" fillId="33" borderId="15" xfId="0" applyNumberFormat="1" applyFont="1" applyFill="1" applyBorder="1" applyAlignment="1">
      <alignment/>
    </xf>
    <xf numFmtId="2" fontId="6" fillId="33" borderId="16" xfId="0" applyNumberFormat="1" applyFont="1" applyFill="1" applyBorder="1" applyAlignment="1">
      <alignment horizontal="center"/>
    </xf>
    <xf numFmtId="2" fontId="6" fillId="33" borderId="17" xfId="0" applyNumberFormat="1" applyFont="1" applyFill="1" applyBorder="1" applyAlignment="1">
      <alignment/>
    </xf>
    <xf numFmtId="2" fontId="6" fillId="33" borderId="18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/>
    </xf>
    <xf numFmtId="2" fontId="6" fillId="33" borderId="1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center"/>
    </xf>
    <xf numFmtId="164" fontId="7" fillId="0" borderId="20" xfId="0" applyNumberFormat="1" applyFont="1" applyBorder="1" applyAlignment="1" applyProtection="1">
      <alignment/>
      <protection locked="0"/>
    </xf>
    <xf numFmtId="4" fontId="7" fillId="33" borderId="21" xfId="0" applyNumberFormat="1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4" fontId="6" fillId="0" borderId="24" xfId="0" applyNumberFormat="1" applyFont="1" applyFill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3" xfId="0" applyFont="1" applyBorder="1" applyAlignment="1">
      <alignment/>
    </xf>
    <xf numFmtId="2" fontId="6" fillId="0" borderId="25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1" fontId="0" fillId="0" borderId="26" xfId="0" applyNumberFormat="1" applyFont="1" applyBorder="1" applyAlignment="1" applyProtection="1">
      <alignment horizontal="center" vertical="center"/>
      <protection locked="0"/>
    </xf>
    <xf numFmtId="1" fontId="0" fillId="0" borderId="27" xfId="0" applyNumberFormat="1" applyFont="1" applyFill="1" applyBorder="1" applyAlignment="1" applyProtection="1">
      <alignment horizontal="center" vertical="center"/>
      <protection locked="0"/>
    </xf>
    <xf numFmtId="2" fontId="6" fillId="33" borderId="14" xfId="0" applyNumberFormat="1" applyFont="1" applyFill="1" applyBorder="1" applyAlignment="1">
      <alignment horizontal="center"/>
    </xf>
    <xf numFmtId="2" fontId="6" fillId="33" borderId="28" xfId="0" applyNumberFormat="1" applyFont="1" applyFill="1" applyBorder="1" applyAlignment="1">
      <alignment/>
    </xf>
    <xf numFmtId="2" fontId="6" fillId="33" borderId="29" xfId="0" applyNumberFormat="1" applyFont="1" applyFill="1" applyBorder="1" applyAlignment="1">
      <alignment/>
    </xf>
    <xf numFmtId="2" fontId="6" fillId="0" borderId="30" xfId="0" applyNumberFormat="1" applyFont="1" applyFill="1" applyBorder="1" applyAlignment="1" applyProtection="1">
      <alignment/>
      <protection locked="0"/>
    </xf>
    <xf numFmtId="2" fontId="7" fillId="33" borderId="0" xfId="0" applyNumberFormat="1" applyFont="1" applyFill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7" fillId="33" borderId="32" xfId="0" applyFont="1" applyFill="1" applyBorder="1" applyAlignment="1">
      <alignment horizontal="center" vertical="center"/>
    </xf>
    <xf numFmtId="4" fontId="6" fillId="0" borderId="33" xfId="0" applyNumberFormat="1" applyFont="1" applyBorder="1" applyAlignment="1">
      <alignment/>
    </xf>
    <xf numFmtId="4" fontId="6" fillId="0" borderId="34" xfId="0" applyNumberFormat="1" applyFont="1" applyFill="1" applyBorder="1" applyAlignment="1">
      <alignment horizontal="right"/>
    </xf>
    <xf numFmtId="4" fontId="6" fillId="0" borderId="35" xfId="0" applyNumberFormat="1" applyFont="1" applyFill="1" applyBorder="1" applyAlignment="1">
      <alignment horizontal="right"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2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0" fillId="37" borderId="0" xfId="0" applyFill="1" applyAlignment="1">
      <alignment horizontal="center"/>
    </xf>
    <xf numFmtId="0" fontId="0" fillId="38" borderId="0" xfId="0" applyFill="1" applyAlignment="1">
      <alignment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>
      <alignment horizontal="left"/>
    </xf>
    <xf numFmtId="0" fontId="0" fillId="39" borderId="0" xfId="0" applyFill="1" applyBorder="1" applyAlignment="1">
      <alignment/>
    </xf>
    <xf numFmtId="0" fontId="0" fillId="39" borderId="0" xfId="0" applyFill="1" applyAlignment="1">
      <alignment/>
    </xf>
    <xf numFmtId="0" fontId="0" fillId="39" borderId="0" xfId="0" applyFill="1" applyAlignment="1">
      <alignment vertical="center"/>
    </xf>
    <xf numFmtId="0" fontId="0" fillId="39" borderId="0" xfId="0" applyFont="1" applyFill="1" applyBorder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Border="1" applyAlignment="1">
      <alignment/>
    </xf>
    <xf numFmtId="0" fontId="0" fillId="39" borderId="0" xfId="0" applyFont="1" applyFill="1" applyAlignment="1">
      <alignment/>
    </xf>
    <xf numFmtId="0" fontId="6" fillId="39" borderId="0" xfId="0" applyFont="1" applyFill="1" applyAlignment="1">
      <alignment vertical="center"/>
    </xf>
    <xf numFmtId="0" fontId="6" fillId="39" borderId="0" xfId="0" applyFont="1" applyFill="1" applyAlignment="1">
      <alignment/>
    </xf>
    <xf numFmtId="2" fontId="9" fillId="40" borderId="38" xfId="0" applyNumberFormat="1" applyFont="1" applyFill="1" applyBorder="1" applyAlignment="1" applyProtection="1">
      <alignment/>
      <protection locked="0"/>
    </xf>
    <xf numFmtId="0" fontId="0" fillId="39" borderId="0" xfId="0" applyFont="1" applyFill="1" applyAlignment="1">
      <alignment/>
    </xf>
    <xf numFmtId="2" fontId="6" fillId="33" borderId="39" xfId="0" applyNumberFormat="1" applyFont="1" applyFill="1" applyBorder="1" applyAlignment="1">
      <alignment/>
    </xf>
    <xf numFmtId="0" fontId="7" fillId="33" borderId="40" xfId="0" applyFont="1" applyFill="1" applyBorder="1" applyAlignment="1">
      <alignment horizontal="center" wrapText="1"/>
    </xf>
    <xf numFmtId="0" fontId="6" fillId="0" borderId="41" xfId="0" applyFont="1" applyBorder="1" applyAlignment="1">
      <alignment/>
    </xf>
    <xf numFmtId="2" fontId="6" fillId="0" borderId="23" xfId="0" applyNumberFormat="1" applyFont="1" applyFill="1" applyBorder="1" applyAlignment="1">
      <alignment horizontal="center"/>
    </xf>
    <xf numFmtId="4" fontId="6" fillId="0" borderId="23" xfId="0" applyNumberFormat="1" applyFont="1" applyBorder="1" applyAlignment="1">
      <alignment/>
    </xf>
    <xf numFmtId="0" fontId="6" fillId="0" borderId="31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7" fillId="33" borderId="42" xfId="0" applyFont="1" applyFill="1" applyBorder="1" applyAlignment="1">
      <alignment horizontal="center" vertical="top" wrapText="1"/>
    </xf>
    <xf numFmtId="164" fontId="6" fillId="33" borderId="43" xfId="0" applyNumberFormat="1" applyFont="1" applyFill="1" applyBorder="1" applyAlignment="1" applyProtection="1">
      <alignment horizontal="right"/>
      <protection/>
    </xf>
    <xf numFmtId="0" fontId="0" fillId="33" borderId="44" xfId="0" applyFill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/>
    </xf>
    <xf numFmtId="0" fontId="6" fillId="0" borderId="45" xfId="0" applyFont="1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2" fontId="6" fillId="33" borderId="47" xfId="0" applyNumberFormat="1" applyFont="1" applyFill="1" applyBorder="1" applyAlignment="1">
      <alignment/>
    </xf>
    <xf numFmtId="2" fontId="6" fillId="33" borderId="48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left"/>
    </xf>
    <xf numFmtId="2" fontId="6" fillId="0" borderId="49" xfId="0" applyNumberFormat="1" applyFont="1" applyFill="1" applyBorder="1" applyAlignment="1" applyProtection="1">
      <alignment/>
      <protection locked="0"/>
    </xf>
    <xf numFmtId="169" fontId="6" fillId="0" borderId="0" xfId="0" applyNumberFormat="1" applyFont="1" applyFill="1" applyAlignment="1">
      <alignment/>
    </xf>
    <xf numFmtId="2" fontId="6" fillId="33" borderId="16" xfId="0" applyNumberFormat="1" applyFont="1" applyFill="1" applyBorder="1" applyAlignment="1">
      <alignment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/>
    </xf>
    <xf numFmtId="0" fontId="6" fillId="33" borderId="50" xfId="0" applyFont="1" applyFill="1" applyBorder="1" applyAlignment="1">
      <alignment horizontal="right"/>
    </xf>
    <xf numFmtId="169" fontId="6" fillId="33" borderId="50" xfId="0" applyNumberFormat="1" applyFont="1" applyFill="1" applyBorder="1" applyAlignment="1">
      <alignment horizontal="right"/>
    </xf>
    <xf numFmtId="169" fontId="11" fillId="33" borderId="51" xfId="0" applyNumberFormat="1" applyFont="1" applyFill="1" applyBorder="1" applyAlignment="1">
      <alignment horizontal="right"/>
    </xf>
    <xf numFmtId="2" fontId="2" fillId="36" borderId="0" xfId="0" applyNumberFormat="1" applyFont="1" applyFill="1" applyAlignment="1">
      <alignment horizontal="right"/>
    </xf>
    <xf numFmtId="2" fontId="0" fillId="36" borderId="0" xfId="0" applyNumberFormat="1" applyFill="1" applyAlignment="1">
      <alignment horizontal="right"/>
    </xf>
    <xf numFmtId="2" fontId="2" fillId="35" borderId="0" xfId="0" applyNumberFormat="1" applyFont="1" applyFill="1" applyAlignment="1">
      <alignment horizontal="right"/>
    </xf>
    <xf numFmtId="2" fontId="0" fillId="35" borderId="0" xfId="0" applyNumberFormat="1" applyFill="1" applyAlignment="1">
      <alignment horizontal="right"/>
    </xf>
    <xf numFmtId="0" fontId="2" fillId="33" borderId="37" xfId="0" applyFont="1" applyFill="1" applyBorder="1" applyAlignment="1">
      <alignment horizontal="center"/>
    </xf>
    <xf numFmtId="0" fontId="0" fillId="0" borderId="0" xfId="0" applyFill="1" applyAlignment="1">
      <alignment/>
    </xf>
    <xf numFmtId="169" fontId="6" fillId="0" borderId="52" xfId="0" applyNumberFormat="1" applyFont="1" applyFill="1" applyBorder="1" applyAlignment="1">
      <alignment/>
    </xf>
    <xf numFmtId="169" fontId="6" fillId="0" borderId="53" xfId="0" applyNumberFormat="1" applyFont="1" applyFill="1" applyBorder="1" applyAlignment="1">
      <alignment/>
    </xf>
    <xf numFmtId="2" fontId="6" fillId="33" borderId="15" xfId="0" applyNumberFormat="1" applyFont="1" applyFill="1" applyBorder="1" applyAlignment="1" applyProtection="1">
      <alignment/>
      <protection/>
    </xf>
    <xf numFmtId="2" fontId="6" fillId="33" borderId="11" xfId="0" applyNumberFormat="1" applyFont="1" applyFill="1" applyBorder="1" applyAlignment="1" applyProtection="1">
      <alignment/>
      <protection/>
    </xf>
    <xf numFmtId="0" fontId="12" fillId="33" borderId="54" xfId="0" applyFont="1" applyFill="1" applyBorder="1" applyAlignment="1" applyProtection="1">
      <alignment/>
      <protection/>
    </xf>
    <xf numFmtId="0" fontId="12" fillId="33" borderId="55" xfId="0" applyFont="1" applyFill="1" applyBorder="1" applyAlignment="1" applyProtection="1">
      <alignment/>
      <protection/>
    </xf>
    <xf numFmtId="169" fontId="12" fillId="38" borderId="56" xfId="0" applyNumberFormat="1" applyFont="1" applyFill="1" applyBorder="1" applyAlignment="1" applyProtection="1">
      <alignment/>
      <protection locked="0"/>
    </xf>
    <xf numFmtId="2" fontId="12" fillId="38" borderId="57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9" borderId="0" xfId="0" applyFont="1" applyFill="1" applyBorder="1" applyAlignment="1">
      <alignment/>
    </xf>
    <xf numFmtId="0" fontId="6" fillId="33" borderId="58" xfId="0" applyFont="1" applyFill="1" applyBorder="1" applyAlignment="1">
      <alignment shrinkToFit="1"/>
    </xf>
    <xf numFmtId="0" fontId="0" fillId="0" borderId="59" xfId="0" applyBorder="1" applyAlignment="1">
      <alignment shrinkToFit="1"/>
    </xf>
    <xf numFmtId="0" fontId="2" fillId="33" borderId="60" xfId="0" applyFont="1" applyFill="1" applyBorder="1" applyAlignment="1">
      <alignment horizontal="left" vertical="center" shrinkToFit="1"/>
    </xf>
    <xf numFmtId="0" fontId="2" fillId="0" borderId="61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shrinkToFit="1"/>
    </xf>
    <xf numFmtId="0" fontId="0" fillId="0" borderId="62" xfId="0" applyFont="1" applyFill="1" applyBorder="1" applyAlignment="1">
      <alignment shrinkToFit="1"/>
    </xf>
    <xf numFmtId="0" fontId="2" fillId="33" borderId="63" xfId="0" applyFont="1" applyFill="1" applyBorder="1" applyAlignment="1">
      <alignment vertical="center" shrinkToFit="1"/>
    </xf>
    <xf numFmtId="0" fontId="0" fillId="0" borderId="0" xfId="0" applyFill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0" fillId="33" borderId="36" xfId="0" applyFill="1" applyBorder="1" applyAlignment="1">
      <alignment/>
    </xf>
    <xf numFmtId="0" fontId="2" fillId="33" borderId="36" xfId="0" applyFont="1" applyFill="1" applyBorder="1" applyAlignment="1">
      <alignment/>
    </xf>
    <xf numFmtId="0" fontId="0" fillId="33" borderId="37" xfId="0" applyFill="1" applyBorder="1" applyAlignment="1">
      <alignment/>
    </xf>
    <xf numFmtId="2" fontId="9" fillId="40" borderId="64" xfId="0" applyNumberFormat="1" applyFont="1" applyFill="1" applyBorder="1" applyAlignment="1" applyProtection="1">
      <alignment/>
      <protection locked="0"/>
    </xf>
    <xf numFmtId="2" fontId="9" fillId="40" borderId="65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 horizont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0" fillId="34" borderId="66" xfId="0" applyFill="1" applyBorder="1" applyAlignment="1">
      <alignment/>
    </xf>
    <xf numFmtId="169" fontId="9" fillId="40" borderId="66" xfId="0" applyNumberFormat="1" applyFont="1" applyFill="1" applyBorder="1" applyAlignment="1" applyProtection="1">
      <alignment/>
      <protection locked="0"/>
    </xf>
    <xf numFmtId="0" fontId="0" fillId="39" borderId="67" xfId="0" applyFill="1" applyBorder="1" applyAlignment="1">
      <alignment/>
    </xf>
    <xf numFmtId="0" fontId="2" fillId="33" borderId="68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33" borderId="69" xfId="0" applyFill="1" applyBorder="1" applyAlignment="1">
      <alignment/>
    </xf>
    <xf numFmtId="0" fontId="0" fillId="33" borderId="70" xfId="0" applyFill="1" applyBorder="1" applyAlignment="1">
      <alignment/>
    </xf>
    <xf numFmtId="1" fontId="6" fillId="33" borderId="49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10" fillId="0" borderId="11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vertical="top" shrinkToFit="1"/>
      <protection/>
    </xf>
    <xf numFmtId="4" fontId="7" fillId="33" borderId="21" xfId="0" applyNumberFormat="1" applyFont="1" applyFill="1" applyBorder="1" applyAlignment="1">
      <alignment/>
    </xf>
    <xf numFmtId="0" fontId="7" fillId="38" borderId="71" xfId="0" applyFont="1" applyFill="1" applyBorder="1" applyAlignment="1">
      <alignment horizontal="center" vertical="center"/>
    </xf>
    <xf numFmtId="0" fontId="2" fillId="38" borderId="72" xfId="0" applyFont="1" applyFill="1" applyBorder="1" applyAlignment="1">
      <alignment horizontal="center" vertical="center" wrapText="1"/>
    </xf>
    <xf numFmtId="0" fontId="7" fillId="38" borderId="56" xfId="0" applyFont="1" applyFill="1" applyBorder="1" applyAlignment="1">
      <alignment horizontal="center" vertical="center" wrapText="1"/>
    </xf>
    <xf numFmtId="0" fontId="2" fillId="38" borderId="73" xfId="0" applyFont="1" applyFill="1" applyBorder="1" applyAlignment="1">
      <alignment horizontal="center" vertical="top"/>
    </xf>
    <xf numFmtId="0" fontId="15" fillId="38" borderId="74" xfId="0" applyFont="1" applyFill="1" applyBorder="1" applyAlignment="1">
      <alignment/>
    </xf>
    <xf numFmtId="169" fontId="12" fillId="0" borderId="75" xfId="0" applyNumberFormat="1" applyFont="1" applyFill="1" applyBorder="1" applyAlignment="1" applyProtection="1">
      <alignment horizontal="right"/>
      <protection locked="0"/>
    </xf>
    <xf numFmtId="169" fontId="12" fillId="0" borderId="76" xfId="0" applyNumberFormat="1" applyFont="1" applyFill="1" applyBorder="1" applyAlignment="1" applyProtection="1">
      <alignment horizontal="right"/>
      <protection locked="0"/>
    </xf>
    <xf numFmtId="169" fontId="12" fillId="0" borderId="77" xfId="0" applyNumberFormat="1" applyFont="1" applyFill="1" applyBorder="1" applyAlignment="1" applyProtection="1">
      <alignment horizontal="right"/>
      <protection locked="0"/>
    </xf>
    <xf numFmtId="169" fontId="12" fillId="0" borderId="78" xfId="0" applyNumberFormat="1" applyFont="1" applyFill="1" applyBorder="1" applyAlignment="1" applyProtection="1">
      <alignment horizontal="right"/>
      <protection locked="0"/>
    </xf>
    <xf numFmtId="169" fontId="12" fillId="0" borderId="79" xfId="0" applyNumberFormat="1" applyFont="1" applyFill="1" applyBorder="1" applyAlignment="1" applyProtection="1">
      <alignment/>
      <protection locked="0"/>
    </xf>
    <xf numFmtId="169" fontId="12" fillId="0" borderId="80" xfId="0" applyNumberFormat="1" applyFont="1" applyFill="1" applyBorder="1" applyAlignment="1" applyProtection="1">
      <alignment/>
      <protection locked="0"/>
    </xf>
    <xf numFmtId="2" fontId="12" fillId="0" borderId="81" xfId="0" applyNumberFormat="1" applyFont="1" applyFill="1" applyBorder="1" applyAlignment="1" applyProtection="1">
      <alignment/>
      <protection locked="0"/>
    </xf>
    <xf numFmtId="2" fontId="12" fillId="0" borderId="82" xfId="0" applyNumberFormat="1" applyFont="1" applyFill="1" applyBorder="1" applyAlignment="1" applyProtection="1">
      <alignment/>
      <protection locked="0"/>
    </xf>
    <xf numFmtId="0" fontId="7" fillId="38" borderId="72" xfId="0" applyFont="1" applyFill="1" applyBorder="1" applyAlignment="1">
      <alignment horizontal="center" vertical="center" wrapText="1"/>
    </xf>
    <xf numFmtId="0" fontId="2" fillId="38" borderId="83" xfId="0" applyFont="1" applyFill="1" applyBorder="1" applyAlignment="1">
      <alignment horizontal="center" vertical="top"/>
    </xf>
    <xf numFmtId="0" fontId="0" fillId="0" borderId="84" xfId="0" applyBorder="1" applyAlignment="1">
      <alignment/>
    </xf>
    <xf numFmtId="0" fontId="0" fillId="0" borderId="0" xfId="0" applyBorder="1" applyAlignment="1">
      <alignment/>
    </xf>
    <xf numFmtId="0" fontId="6" fillId="38" borderId="71" xfId="0" applyFont="1" applyFill="1" applyBorder="1" applyAlignment="1">
      <alignment horizontal="center"/>
    </xf>
    <xf numFmtId="3" fontId="7" fillId="38" borderId="71" xfId="0" applyNumberFormat="1" applyFont="1" applyFill="1" applyBorder="1" applyAlignment="1">
      <alignment/>
    </xf>
    <xf numFmtId="2" fontId="7" fillId="38" borderId="71" xfId="0" applyNumberFormat="1" applyFont="1" applyFill="1" applyBorder="1" applyAlignment="1">
      <alignment horizontal="center"/>
    </xf>
    <xf numFmtId="0" fontId="6" fillId="0" borderId="85" xfId="0" applyFont="1" applyFill="1" applyBorder="1" applyAlignment="1">
      <alignment/>
    </xf>
    <xf numFmtId="0" fontId="0" fillId="0" borderId="86" xfId="0" applyFill="1" applyBorder="1" applyAlignment="1">
      <alignment/>
    </xf>
    <xf numFmtId="0" fontId="0" fillId="0" borderId="87" xfId="0" applyFill="1" applyBorder="1" applyAlignment="1">
      <alignment/>
    </xf>
    <xf numFmtId="0" fontId="10" fillId="0" borderId="87" xfId="0" applyFont="1" applyFill="1" applyBorder="1" applyAlignment="1">
      <alignment vertical="center"/>
    </xf>
    <xf numFmtId="2" fontId="6" fillId="0" borderId="87" xfId="0" applyNumberFormat="1" applyFont="1" applyFill="1" applyBorder="1" applyAlignment="1" applyProtection="1">
      <alignment vertical="top" shrinkToFit="1"/>
      <protection/>
    </xf>
    <xf numFmtId="2" fontId="6" fillId="0" borderId="88" xfId="0" applyNumberFormat="1" applyFont="1" applyFill="1" applyBorder="1" applyAlignment="1" applyProtection="1">
      <alignment vertical="top" shrinkToFit="1"/>
      <protection/>
    </xf>
    <xf numFmtId="0" fontId="6" fillId="0" borderId="16" xfId="0" applyFont="1" applyFill="1" applyBorder="1" applyAlignment="1" applyProtection="1">
      <alignment vertical="top" shrinkToFit="1"/>
      <protection/>
    </xf>
    <xf numFmtId="4" fontId="26" fillId="41" borderId="89" xfId="0" applyNumberFormat="1" applyFont="1" applyFill="1" applyBorder="1" applyAlignment="1">
      <alignment/>
    </xf>
    <xf numFmtId="4" fontId="26" fillId="41" borderId="89" xfId="0" applyNumberFormat="1" applyFont="1" applyFill="1" applyBorder="1" applyAlignment="1">
      <alignment vertical="center"/>
    </xf>
    <xf numFmtId="2" fontId="26" fillId="41" borderId="89" xfId="0" applyNumberFormat="1" applyFont="1" applyFill="1" applyBorder="1" applyAlignment="1">
      <alignment/>
    </xf>
    <xf numFmtId="0" fontId="7" fillId="38" borderId="71" xfId="0" applyFont="1" applyFill="1" applyBorder="1" applyAlignment="1">
      <alignment horizontal="right"/>
    </xf>
    <xf numFmtId="0" fontId="7" fillId="38" borderId="71" xfId="0" applyFont="1" applyFill="1" applyBorder="1" applyAlignment="1">
      <alignment horizontal="center"/>
    </xf>
    <xf numFmtId="2" fontId="12" fillId="0" borderId="78" xfId="0" applyNumberFormat="1" applyFont="1" applyFill="1" applyBorder="1" applyAlignment="1" applyProtection="1">
      <alignment horizontal="right"/>
      <protection locked="0"/>
    </xf>
    <xf numFmtId="0" fontId="0" fillId="42" borderId="90" xfId="0" applyFill="1" applyBorder="1" applyAlignment="1">
      <alignment/>
    </xf>
    <xf numFmtId="2" fontId="0" fillId="42" borderId="90" xfId="0" applyNumberFormat="1" applyFont="1" applyFill="1" applyBorder="1" applyAlignment="1" applyProtection="1">
      <alignment/>
      <protection/>
    </xf>
    <xf numFmtId="0" fontId="0" fillId="42" borderId="91" xfId="0" applyFill="1" applyBorder="1" applyAlignment="1">
      <alignment/>
    </xf>
    <xf numFmtId="2" fontId="0" fillId="42" borderId="91" xfId="0" applyNumberFormat="1" applyFont="1" applyFill="1" applyBorder="1" applyAlignment="1" applyProtection="1">
      <alignment/>
      <protection/>
    </xf>
    <xf numFmtId="1" fontId="0" fillId="42" borderId="91" xfId="0" applyNumberFormat="1" applyFill="1" applyBorder="1" applyAlignment="1">
      <alignment horizontal="center"/>
    </xf>
    <xf numFmtId="0" fontId="0" fillId="42" borderId="91" xfId="0" applyFill="1" applyBorder="1" applyAlignment="1">
      <alignment horizontal="center"/>
    </xf>
    <xf numFmtId="0" fontId="0" fillId="42" borderId="92" xfId="0" applyFill="1" applyBorder="1" applyAlignment="1">
      <alignment/>
    </xf>
    <xf numFmtId="2" fontId="0" fillId="42" borderId="92" xfId="0" applyNumberFormat="1" applyFont="1" applyFill="1" applyBorder="1" applyAlignment="1" applyProtection="1">
      <alignment/>
      <protection/>
    </xf>
    <xf numFmtId="1" fontId="0" fillId="42" borderId="92" xfId="0" applyNumberFormat="1" applyFill="1" applyBorder="1" applyAlignment="1">
      <alignment horizontal="center"/>
    </xf>
    <xf numFmtId="0" fontId="0" fillId="42" borderId="92" xfId="0" applyFill="1" applyBorder="1" applyAlignment="1">
      <alignment horizontal="center"/>
    </xf>
    <xf numFmtId="0" fontId="0" fillId="34" borderId="36" xfId="0" applyFill="1" applyBorder="1" applyAlignment="1" quotePrefix="1">
      <alignment/>
    </xf>
    <xf numFmtId="2" fontId="0" fillId="34" borderId="36" xfId="0" applyNumberFormat="1" applyFill="1" applyBorder="1" applyAlignment="1">
      <alignment horizontal="right"/>
    </xf>
    <xf numFmtId="2" fontId="2" fillId="43" borderId="93" xfId="0" applyNumberFormat="1" applyFont="1" applyFill="1" applyBorder="1" applyAlignment="1">
      <alignment horizontal="center"/>
    </xf>
    <xf numFmtId="1" fontId="2" fillId="43" borderId="93" xfId="0" applyNumberFormat="1" applyFont="1" applyFill="1" applyBorder="1" applyAlignment="1">
      <alignment horizontal="center"/>
    </xf>
    <xf numFmtId="0" fontId="2" fillId="43" borderId="93" xfId="0" applyFont="1" applyFill="1" applyBorder="1" applyAlignment="1">
      <alignment horizontal="center"/>
    </xf>
    <xf numFmtId="2" fontId="2" fillId="43" borderId="94" xfId="0" applyNumberFormat="1" applyFont="1" applyFill="1" applyBorder="1" applyAlignment="1">
      <alignment horizontal="center"/>
    </xf>
    <xf numFmtId="1" fontId="2" fillId="43" borderId="94" xfId="0" applyNumberFormat="1" applyFont="1" applyFill="1" applyBorder="1" applyAlignment="1">
      <alignment horizontal="center"/>
    </xf>
    <xf numFmtId="0" fontId="2" fillId="43" borderId="94" xfId="0" applyFont="1" applyFill="1" applyBorder="1" applyAlignment="1">
      <alignment horizontal="center"/>
    </xf>
    <xf numFmtId="0" fontId="0" fillId="42" borderId="95" xfId="0" applyFill="1" applyBorder="1" applyAlignment="1">
      <alignment/>
    </xf>
    <xf numFmtId="2" fontId="9" fillId="40" borderId="96" xfId="0" applyNumberFormat="1" applyFont="1" applyFill="1" applyBorder="1" applyAlignment="1" applyProtection="1">
      <alignment/>
      <protection locked="0"/>
    </xf>
    <xf numFmtId="2" fontId="2" fillId="33" borderId="97" xfId="0" applyNumberFormat="1" applyFont="1" applyFill="1" applyBorder="1" applyAlignment="1">
      <alignment horizontal="center"/>
    </xf>
    <xf numFmtId="2" fontId="2" fillId="33" borderId="98" xfId="0" applyNumberFormat="1" applyFont="1" applyFill="1" applyBorder="1" applyAlignment="1">
      <alignment horizontal="center"/>
    </xf>
    <xf numFmtId="2" fontId="2" fillId="33" borderId="99" xfId="0" applyNumberFormat="1" applyFont="1" applyFill="1" applyBorder="1" applyAlignment="1">
      <alignment horizontal="center"/>
    </xf>
    <xf numFmtId="2" fontId="2" fillId="33" borderId="37" xfId="0" applyNumberFormat="1" applyFont="1" applyFill="1" applyBorder="1" applyAlignment="1">
      <alignment horizontal="center"/>
    </xf>
    <xf numFmtId="2" fontId="0" fillId="34" borderId="100" xfId="0" applyNumberFormat="1" applyFill="1" applyBorder="1" applyAlignment="1">
      <alignment/>
    </xf>
    <xf numFmtId="2" fontId="0" fillId="34" borderId="99" xfId="0" applyNumberFormat="1" applyFill="1" applyBorder="1" applyAlignment="1">
      <alignment/>
    </xf>
    <xf numFmtId="2" fontId="0" fillId="34" borderId="37" xfId="0" applyNumberFormat="1" applyFill="1" applyBorder="1" applyAlignment="1">
      <alignment horizontal="right"/>
    </xf>
    <xf numFmtId="2" fontId="2" fillId="33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/>
    </xf>
    <xf numFmtId="2" fontId="0" fillId="33" borderId="0" xfId="0" applyNumberFormat="1" applyFill="1" applyAlignment="1">
      <alignment/>
    </xf>
    <xf numFmtId="2" fontId="7" fillId="44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2" fillId="44" borderId="0" xfId="0" applyNumberFormat="1" applyFont="1" applyFill="1" applyAlignment="1">
      <alignment horizontal="center"/>
    </xf>
    <xf numFmtId="2" fontId="0" fillId="44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34" borderId="36" xfId="0" applyNumberFormat="1" applyFill="1" applyBorder="1" applyAlignment="1">
      <alignment/>
    </xf>
    <xf numFmtId="2" fontId="0" fillId="34" borderId="37" xfId="0" applyNumberFormat="1" applyFill="1" applyBorder="1" applyAlignment="1">
      <alignment/>
    </xf>
    <xf numFmtId="14" fontId="6" fillId="33" borderId="0" xfId="0" applyNumberFormat="1" applyFont="1" applyFill="1" applyBorder="1" applyAlignment="1">
      <alignment/>
    </xf>
    <xf numFmtId="2" fontId="9" fillId="40" borderId="101" xfId="0" applyNumberFormat="1" applyFont="1" applyFill="1" applyBorder="1" applyAlignment="1" applyProtection="1">
      <alignment/>
      <protection locked="0"/>
    </xf>
    <xf numFmtId="0" fontId="0" fillId="33" borderId="84" xfId="0" applyFill="1" applyBorder="1" applyAlignment="1">
      <alignment/>
    </xf>
    <xf numFmtId="0" fontId="2" fillId="43" borderId="102" xfId="0" applyFont="1" applyFill="1" applyBorder="1" applyAlignment="1">
      <alignment horizontal="center" vertical="center"/>
    </xf>
    <xf numFmtId="1" fontId="0" fillId="42" borderId="103" xfId="0" applyNumberFormat="1" applyFill="1" applyBorder="1" applyAlignment="1">
      <alignment horizontal="center"/>
    </xf>
    <xf numFmtId="0" fontId="0" fillId="42" borderId="103" xfId="0" applyFill="1" applyBorder="1" applyAlignment="1">
      <alignment horizontal="center"/>
    </xf>
    <xf numFmtId="1" fontId="0" fillId="34" borderId="64" xfId="0" applyNumberFormat="1" applyFill="1" applyBorder="1" applyAlignment="1">
      <alignment horizontal="center"/>
    </xf>
    <xf numFmtId="0" fontId="0" fillId="34" borderId="64" xfId="0" applyFill="1" applyBorder="1" applyAlignment="1">
      <alignment horizontal="center"/>
    </xf>
    <xf numFmtId="2" fontId="0" fillId="34" borderId="104" xfId="0" applyNumberFormat="1" applyFill="1" applyBorder="1" applyAlignment="1">
      <alignment horizontal="right"/>
    </xf>
    <xf numFmtId="0" fontId="0" fillId="33" borderId="64" xfId="0" applyFill="1" applyBorder="1" applyAlignment="1">
      <alignment/>
    </xf>
    <xf numFmtId="0" fontId="0" fillId="33" borderId="105" xfId="0" applyFill="1" applyBorder="1" applyAlignment="1">
      <alignment/>
    </xf>
    <xf numFmtId="0" fontId="0" fillId="34" borderId="106" xfId="0" applyFill="1" applyBorder="1" applyAlignment="1">
      <alignment vertical="center"/>
    </xf>
    <xf numFmtId="0" fontId="0" fillId="34" borderId="93" xfId="0" applyFill="1" applyBorder="1" applyAlignment="1">
      <alignment vertical="center"/>
    </xf>
    <xf numFmtId="169" fontId="62" fillId="0" borderId="107" xfId="0" applyNumberFormat="1" applyFont="1" applyFill="1" applyBorder="1" applyAlignment="1" applyProtection="1">
      <alignment horizontal="center" vertical="center"/>
      <protection locked="0"/>
    </xf>
    <xf numFmtId="2" fontId="6" fillId="0" borderId="108" xfId="0" applyNumberFormat="1" applyFont="1" applyFill="1" applyBorder="1" applyAlignment="1" applyProtection="1">
      <alignment/>
      <protection locked="0"/>
    </xf>
    <xf numFmtId="169" fontId="62" fillId="0" borderId="109" xfId="0" applyNumberFormat="1" applyFont="1" applyFill="1" applyBorder="1" applyAlignment="1" applyProtection="1">
      <alignment horizontal="center" vertical="center"/>
      <protection locked="0"/>
    </xf>
    <xf numFmtId="169" fontId="62" fillId="0" borderId="110" xfId="0" applyNumberFormat="1" applyFont="1" applyFill="1" applyBorder="1" applyAlignment="1" applyProtection="1">
      <alignment horizontal="center" vertical="center"/>
      <protection locked="0"/>
    </xf>
    <xf numFmtId="2" fontId="6" fillId="0" borderId="111" xfId="0" applyNumberFormat="1" applyFont="1" applyFill="1" applyBorder="1" applyAlignment="1" applyProtection="1">
      <alignment/>
      <protection locked="0"/>
    </xf>
    <xf numFmtId="2" fontId="6" fillId="0" borderId="112" xfId="0" applyNumberFormat="1" applyFont="1" applyFill="1" applyBorder="1" applyAlignment="1" applyProtection="1">
      <alignment/>
      <protection locked="0"/>
    </xf>
    <xf numFmtId="0" fontId="0" fillId="42" borderId="91" xfId="0" applyFont="1" applyFill="1" applyBorder="1" applyAlignment="1">
      <alignment horizontal="center"/>
    </xf>
    <xf numFmtId="2" fontId="6" fillId="0" borderId="12" xfId="0" applyNumberFormat="1" applyFont="1" applyFill="1" applyBorder="1" applyAlignment="1" applyProtection="1">
      <alignment/>
      <protection locked="0"/>
    </xf>
    <xf numFmtId="0" fontId="6" fillId="0" borderId="113" xfId="0" applyFont="1" applyBorder="1" applyAlignment="1" applyProtection="1">
      <alignment/>
      <protection locked="0"/>
    </xf>
    <xf numFmtId="0" fontId="6" fillId="0" borderId="114" xfId="0" applyFont="1" applyBorder="1" applyAlignment="1" applyProtection="1">
      <alignment/>
      <protection locked="0"/>
    </xf>
    <xf numFmtId="0" fontId="6" fillId="0" borderId="115" xfId="0" applyFont="1" applyBorder="1" applyAlignment="1" applyProtection="1">
      <alignment/>
      <protection locked="0"/>
    </xf>
    <xf numFmtId="0" fontId="6" fillId="33" borderId="116" xfId="0" applyFont="1" applyFill="1" applyBorder="1" applyAlignment="1">
      <alignment shrinkToFit="1"/>
    </xf>
    <xf numFmtId="0" fontId="6" fillId="33" borderId="113" xfId="0" applyFont="1" applyFill="1" applyBorder="1" applyAlignment="1">
      <alignment shrinkToFit="1"/>
    </xf>
    <xf numFmtId="0" fontId="6" fillId="0" borderId="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17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6" fillId="33" borderId="118" xfId="0" applyFont="1" applyFill="1" applyBorder="1" applyAlignment="1">
      <alignment shrinkToFit="1"/>
    </xf>
    <xf numFmtId="0" fontId="6" fillId="33" borderId="119" xfId="0" applyFont="1" applyFill="1" applyBorder="1" applyAlignment="1">
      <alignment shrinkToFit="1"/>
    </xf>
    <xf numFmtId="0" fontId="6" fillId="33" borderId="120" xfId="0" applyFont="1" applyFill="1" applyBorder="1" applyAlignment="1">
      <alignment shrinkToFit="1"/>
    </xf>
    <xf numFmtId="0" fontId="6" fillId="0" borderId="121" xfId="0" applyFont="1" applyBorder="1" applyAlignment="1" applyProtection="1">
      <alignment/>
      <protection locked="0"/>
    </xf>
    <xf numFmtId="0" fontId="6" fillId="0" borderId="122" xfId="0" applyFont="1" applyBorder="1" applyAlignment="1" applyProtection="1">
      <alignment/>
      <protection locked="0"/>
    </xf>
    <xf numFmtId="0" fontId="0" fillId="0" borderId="86" xfId="0" applyFill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2" fontId="62" fillId="0" borderId="123" xfId="0" applyNumberFormat="1" applyFont="1" applyFill="1" applyBorder="1" applyAlignment="1" applyProtection="1">
      <alignment horizontal="left" vertical="center"/>
      <protection locked="0"/>
    </xf>
    <xf numFmtId="2" fontId="62" fillId="0" borderId="124" xfId="0" applyNumberFormat="1" applyFont="1" applyFill="1" applyBorder="1" applyAlignment="1" applyProtection="1">
      <alignment horizontal="left" vertical="center"/>
      <protection locked="0"/>
    </xf>
    <xf numFmtId="0" fontId="7" fillId="0" borderId="71" xfId="0" applyFont="1" applyFill="1" applyBorder="1" applyAlignment="1">
      <alignment/>
    </xf>
    <xf numFmtId="0" fontId="0" fillId="0" borderId="71" xfId="0" applyBorder="1" applyAlignment="1">
      <alignment/>
    </xf>
    <xf numFmtId="0" fontId="22" fillId="41" borderId="125" xfId="0" applyFont="1" applyFill="1" applyBorder="1" applyAlignment="1">
      <alignment horizontal="center" vertical="center"/>
    </xf>
    <xf numFmtId="0" fontId="23" fillId="41" borderId="10" xfId="0" applyFont="1" applyFill="1" applyBorder="1" applyAlignment="1">
      <alignment vertical="center"/>
    </xf>
    <xf numFmtId="0" fontId="23" fillId="41" borderId="19" xfId="0" applyFont="1" applyFill="1" applyBorder="1" applyAlignment="1">
      <alignment vertical="center"/>
    </xf>
    <xf numFmtId="0" fontId="6" fillId="0" borderId="126" xfId="0" applyFont="1" applyBorder="1" applyAlignment="1" applyProtection="1">
      <alignment vertical="center"/>
      <protection locked="0"/>
    </xf>
    <xf numFmtId="0" fontId="6" fillId="0" borderId="127" xfId="0" applyFont="1" applyBorder="1" applyAlignment="1" applyProtection="1">
      <alignment vertical="center"/>
      <protection locked="0"/>
    </xf>
    <xf numFmtId="0" fontId="3" fillId="0" borderId="128" xfId="0" applyFont="1" applyBorder="1" applyAlignment="1" applyProtection="1">
      <alignment vertical="center"/>
      <protection locked="0"/>
    </xf>
    <xf numFmtId="0" fontId="3" fillId="0" borderId="63" xfId="0" applyFont="1" applyBorder="1" applyAlignment="1" applyProtection="1">
      <alignment vertical="center"/>
      <protection locked="0"/>
    </xf>
    <xf numFmtId="0" fontId="3" fillId="0" borderId="129" xfId="0" applyFont="1" applyBorder="1" applyAlignment="1" applyProtection="1">
      <alignment vertical="center"/>
      <protection locked="0"/>
    </xf>
    <xf numFmtId="0" fontId="0" fillId="45" borderId="0" xfId="0" applyFont="1" applyFill="1" applyBorder="1" applyAlignment="1">
      <alignment horizontal="center" vertical="center"/>
    </xf>
    <xf numFmtId="0" fontId="0" fillId="45" borderId="0" xfId="0" applyFont="1" applyFill="1" applyBorder="1" applyAlignment="1">
      <alignment horizontal="center"/>
    </xf>
    <xf numFmtId="0" fontId="0" fillId="45" borderId="123" xfId="0" applyFont="1" applyFill="1" applyBorder="1" applyAlignment="1">
      <alignment horizontal="center"/>
    </xf>
    <xf numFmtId="0" fontId="8" fillId="0" borderId="130" xfId="0" applyFont="1" applyFill="1" applyBorder="1" applyAlignment="1" applyProtection="1">
      <alignment horizontal="center" vertical="center"/>
      <protection/>
    </xf>
    <xf numFmtId="0" fontId="0" fillId="0" borderId="117" xfId="0" applyFont="1" applyBorder="1" applyAlignment="1">
      <alignment/>
    </xf>
    <xf numFmtId="0" fontId="0" fillId="0" borderId="131" xfId="0" applyFont="1" applyBorder="1" applyAlignment="1">
      <alignment/>
    </xf>
    <xf numFmtId="0" fontId="2" fillId="33" borderId="132" xfId="0" applyFont="1" applyFill="1" applyBorder="1" applyAlignment="1">
      <alignment horizontal="left" vertical="center" shrinkToFit="1"/>
    </xf>
    <xf numFmtId="0" fontId="0" fillId="0" borderId="63" xfId="0" applyFont="1" applyBorder="1" applyAlignment="1">
      <alignment shrinkToFit="1"/>
    </xf>
    <xf numFmtId="0" fontId="0" fillId="0" borderId="133" xfId="0" applyFont="1" applyBorder="1" applyAlignment="1">
      <alignment shrinkToFit="1"/>
    </xf>
    <xf numFmtId="168" fontId="2" fillId="0" borderId="130" xfId="0" applyNumberFormat="1" applyFont="1" applyBorder="1" applyAlignment="1" applyProtection="1">
      <alignment horizontal="center" vertical="center"/>
      <protection locked="0"/>
    </xf>
    <xf numFmtId="168" fontId="0" fillId="0" borderId="131" xfId="0" applyNumberFormat="1" applyBorder="1" applyAlignment="1" applyProtection="1">
      <alignment horizontal="center"/>
      <protection locked="0"/>
    </xf>
    <xf numFmtId="0" fontId="7" fillId="38" borderId="134" xfId="0" applyFont="1" applyFill="1" applyBorder="1" applyAlignment="1">
      <alignment horizontal="center" vertical="center"/>
    </xf>
    <xf numFmtId="0" fontId="6" fillId="38" borderId="7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120" xfId="0" applyFont="1" applyBorder="1" applyAlignment="1">
      <alignment shrinkToFit="1"/>
    </xf>
    <xf numFmtId="0" fontId="3" fillId="38" borderId="125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" fillId="33" borderId="135" xfId="0" applyFont="1" applyFill="1" applyBorder="1" applyAlignment="1">
      <alignment shrinkToFit="1"/>
    </xf>
    <xf numFmtId="0" fontId="6" fillId="33" borderId="115" xfId="0" applyFont="1" applyFill="1" applyBorder="1" applyAlignment="1">
      <alignment shrinkToFit="1"/>
    </xf>
    <xf numFmtId="2" fontId="6" fillId="0" borderId="136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7" fillId="38" borderId="134" xfId="0" applyFont="1" applyFill="1" applyBorder="1" applyAlignment="1">
      <alignment horizontal="right"/>
    </xf>
    <xf numFmtId="0" fontId="7" fillId="38" borderId="71" xfId="0" applyFont="1" applyFill="1" applyBorder="1" applyAlignment="1">
      <alignment horizontal="right"/>
    </xf>
    <xf numFmtId="0" fontId="6" fillId="0" borderId="45" xfId="0" applyFont="1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120" xfId="0" applyBorder="1" applyAlignment="1">
      <alignment shrinkToFit="1"/>
    </xf>
    <xf numFmtId="0" fontId="0" fillId="0" borderId="13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8" xfId="0" applyFill="1" applyBorder="1" applyAlignment="1">
      <alignment/>
    </xf>
    <xf numFmtId="0" fontId="0" fillId="38" borderId="130" xfId="0" applyFont="1" applyFill="1" applyBorder="1" applyAlignment="1">
      <alignment horizontal="center" vertical="center" wrapText="1"/>
    </xf>
    <xf numFmtId="0" fontId="0" fillId="38" borderId="117" xfId="0" applyFont="1" applyFill="1" applyBorder="1" applyAlignment="1">
      <alignment horizontal="center" vertical="center"/>
    </xf>
    <xf numFmtId="0" fontId="0" fillId="38" borderId="131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shrinkToFit="1"/>
    </xf>
    <xf numFmtId="0" fontId="0" fillId="0" borderId="59" xfId="0" applyBorder="1" applyAlignment="1">
      <alignment shrinkToFit="1"/>
    </xf>
    <xf numFmtId="0" fontId="6" fillId="33" borderId="138" xfId="0" applyFont="1" applyFill="1" applyBorder="1" applyAlignment="1">
      <alignment shrinkToFit="1"/>
    </xf>
    <xf numFmtId="0" fontId="0" fillId="0" borderId="44" xfId="0" applyBorder="1" applyAlignment="1">
      <alignment shrinkToFit="1"/>
    </xf>
    <xf numFmtId="0" fontId="6" fillId="0" borderId="139" xfId="0" applyFont="1" applyBorder="1" applyAlignment="1" applyProtection="1">
      <alignment/>
      <protection/>
    </xf>
    <xf numFmtId="0" fontId="0" fillId="0" borderId="20" xfId="0" applyBorder="1" applyAlignment="1">
      <alignment/>
    </xf>
    <xf numFmtId="0" fontId="6" fillId="0" borderId="140" xfId="0" applyFont="1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41" xfId="0" applyFill="1" applyBorder="1" applyAlignment="1">
      <alignment/>
    </xf>
    <xf numFmtId="0" fontId="6" fillId="0" borderId="121" xfId="0" applyFont="1" applyBorder="1" applyAlignment="1" applyProtection="1">
      <alignment/>
      <protection/>
    </xf>
    <xf numFmtId="0" fontId="0" fillId="0" borderId="122" xfId="0" applyBorder="1" applyAlignment="1" applyProtection="1">
      <alignment/>
      <protection/>
    </xf>
    <xf numFmtId="0" fontId="6" fillId="33" borderId="142" xfId="0" applyFont="1" applyFill="1" applyBorder="1" applyAlignment="1">
      <alignment shrinkToFit="1"/>
    </xf>
    <xf numFmtId="0" fontId="6" fillId="33" borderId="143" xfId="0" applyFont="1" applyFill="1" applyBorder="1" applyAlignment="1">
      <alignment shrinkToFit="1"/>
    </xf>
    <xf numFmtId="0" fontId="6" fillId="33" borderId="144" xfId="0" applyFont="1" applyFill="1" applyBorder="1" applyAlignment="1">
      <alignment shrinkToFit="1"/>
    </xf>
    <xf numFmtId="0" fontId="6" fillId="33" borderId="145" xfId="0" applyFont="1" applyFill="1" applyBorder="1" applyAlignment="1">
      <alignment shrinkToFit="1"/>
    </xf>
    <xf numFmtId="0" fontId="7" fillId="0" borderId="130" xfId="0" applyFont="1" applyFill="1" applyBorder="1" applyAlignment="1">
      <alignment horizontal="right"/>
    </xf>
    <xf numFmtId="0" fontId="0" fillId="0" borderId="117" xfId="0" applyBorder="1" applyAlignment="1">
      <alignment/>
    </xf>
    <xf numFmtId="0" fontId="0" fillId="0" borderId="131" xfId="0" applyBorder="1" applyAlignment="1">
      <alignment/>
    </xf>
    <xf numFmtId="0" fontId="6" fillId="0" borderId="0" xfId="0" applyFont="1" applyFill="1" applyBorder="1" applyAlignment="1">
      <alignment horizontal="right"/>
    </xf>
    <xf numFmtId="4" fontId="6" fillId="0" borderId="145" xfId="0" applyNumberFormat="1" applyFont="1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46" xfId="0" applyBorder="1" applyAlignment="1">
      <alignment horizontal="center"/>
    </xf>
    <xf numFmtId="0" fontId="6" fillId="0" borderId="61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71" xfId="0" applyFont="1" applyBorder="1" applyAlignment="1">
      <alignment/>
    </xf>
    <xf numFmtId="0" fontId="7" fillId="38" borderId="71" xfId="0" applyFont="1" applyFill="1" applyBorder="1" applyAlignment="1">
      <alignment/>
    </xf>
    <xf numFmtId="0" fontId="3" fillId="0" borderId="71" xfId="0" applyFont="1" applyFill="1" applyBorder="1" applyAlignment="1">
      <alignment horizontal="center" vertical="center"/>
    </xf>
    <xf numFmtId="0" fontId="0" fillId="45" borderId="147" xfId="0" applyFont="1" applyFill="1" applyBorder="1" applyAlignment="1">
      <alignment horizontal="center" vertical="center"/>
    </xf>
    <xf numFmtId="0" fontId="0" fillId="45" borderId="148" xfId="0" applyFont="1" applyFill="1" applyBorder="1" applyAlignment="1">
      <alignment horizontal="center" vertical="center"/>
    </xf>
    <xf numFmtId="0" fontId="24" fillId="41" borderId="149" xfId="0" applyFont="1" applyFill="1" applyBorder="1" applyAlignment="1">
      <alignment horizontal="center" vertical="center" shrinkToFit="1"/>
    </xf>
    <xf numFmtId="0" fontId="25" fillId="41" borderId="144" xfId="0" applyFont="1" applyFill="1" applyBorder="1" applyAlignment="1">
      <alignment horizontal="center" vertical="center"/>
    </xf>
    <xf numFmtId="0" fontId="21" fillId="41" borderId="134" xfId="0" applyFont="1" applyFill="1" applyBorder="1" applyAlignment="1">
      <alignment horizontal="center" vertical="center" shrinkToFit="1"/>
    </xf>
    <xf numFmtId="0" fontId="21" fillId="41" borderId="71" xfId="0" applyFont="1" applyFill="1" applyBorder="1" applyAlignment="1">
      <alignment horizontal="center" vertical="center" shrinkToFit="1"/>
    </xf>
    <xf numFmtId="0" fontId="21" fillId="41" borderId="89" xfId="0" applyFont="1" applyFill="1" applyBorder="1" applyAlignment="1">
      <alignment horizontal="center" vertical="center" shrinkToFit="1"/>
    </xf>
    <xf numFmtId="0" fontId="6" fillId="33" borderId="116" xfId="0" applyFont="1" applyFill="1" applyBorder="1" applyAlignment="1">
      <alignment shrinkToFit="1"/>
    </xf>
    <xf numFmtId="0" fontId="6" fillId="0" borderId="113" xfId="0" applyFont="1" applyBorder="1" applyAlignment="1">
      <alignment shrinkToFit="1"/>
    </xf>
    <xf numFmtId="0" fontId="0" fillId="0" borderId="113" xfId="0" applyBorder="1" applyAlignment="1">
      <alignment shrinkToFit="1"/>
    </xf>
    <xf numFmtId="0" fontId="6" fillId="33" borderId="150" xfId="0" applyFont="1" applyFill="1" applyBorder="1" applyAlignment="1">
      <alignment shrinkToFit="1"/>
    </xf>
    <xf numFmtId="0" fontId="6" fillId="33" borderId="47" xfId="0" applyFont="1" applyFill="1" applyBorder="1" applyAlignment="1">
      <alignment shrinkToFit="1"/>
    </xf>
    <xf numFmtId="0" fontId="6" fillId="0" borderId="139" xfId="0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2" borderId="151" xfId="0" applyFont="1" applyFill="1" applyBorder="1" applyAlignment="1">
      <alignment horizontal="left" vertical="center"/>
    </xf>
    <xf numFmtId="0" fontId="0" fillId="2" borderId="147" xfId="0" applyFont="1" applyFill="1" applyBorder="1" applyAlignment="1">
      <alignment horizontal="left"/>
    </xf>
    <xf numFmtId="0" fontId="24" fillId="41" borderId="125" xfId="0" applyFont="1" applyFill="1" applyBorder="1" applyAlignment="1">
      <alignment horizontal="center" vertical="center"/>
    </xf>
    <xf numFmtId="0" fontId="25" fillId="41" borderId="19" xfId="0" applyFont="1" applyFill="1" applyBorder="1" applyAlignment="1">
      <alignment horizontal="center"/>
    </xf>
    <xf numFmtId="0" fontId="3" fillId="0" borderId="60" xfId="0" applyFont="1" applyBorder="1" applyAlignment="1" applyProtection="1">
      <alignment vertical="center"/>
      <protection locked="0"/>
    </xf>
    <xf numFmtId="0" fontId="8" fillId="0" borderId="152" xfId="0" applyFont="1" applyBorder="1" applyAlignment="1" applyProtection="1">
      <alignment vertical="center"/>
      <protection locked="0"/>
    </xf>
    <xf numFmtId="0" fontId="8" fillId="0" borderId="153" xfId="0" applyFont="1" applyBorder="1" applyAlignment="1" applyProtection="1">
      <alignment vertical="center"/>
      <protection locked="0"/>
    </xf>
    <xf numFmtId="0" fontId="2" fillId="33" borderId="118" xfId="0" applyFont="1" applyFill="1" applyBorder="1" applyAlignment="1">
      <alignment horizontal="left" vertical="center" shrinkToFit="1"/>
    </xf>
    <xf numFmtId="0" fontId="0" fillId="0" borderId="152" xfId="0" applyFont="1" applyBorder="1" applyAlignment="1">
      <alignment shrinkToFit="1"/>
    </xf>
    <xf numFmtId="0" fontId="0" fillId="0" borderId="154" xfId="0" applyFont="1" applyBorder="1" applyAlignment="1">
      <alignment shrinkToFit="1"/>
    </xf>
    <xf numFmtId="2" fontId="62" fillId="0" borderId="155" xfId="0" applyNumberFormat="1" applyFont="1" applyFill="1" applyBorder="1" applyAlignment="1" applyProtection="1">
      <alignment horizontal="left" vertical="center"/>
      <protection locked="0"/>
    </xf>
    <xf numFmtId="2" fontId="62" fillId="0" borderId="156" xfId="0" applyNumberFormat="1" applyFont="1" applyFill="1" applyBorder="1" applyAlignment="1" applyProtection="1">
      <alignment horizontal="left" vertical="center"/>
      <protection locked="0"/>
    </xf>
    <xf numFmtId="0" fontId="6" fillId="45" borderId="115" xfId="0" applyFont="1" applyFill="1" applyBorder="1" applyAlignment="1">
      <alignment horizontal="left" vertical="center"/>
    </xf>
    <xf numFmtId="0" fontId="6" fillId="45" borderId="0" xfId="0" applyFont="1" applyFill="1" applyBorder="1" applyAlignment="1">
      <alignment horizontal="left" vertical="center"/>
    </xf>
    <xf numFmtId="0" fontId="6" fillId="0" borderId="27" xfId="0" applyFont="1" applyFill="1" applyBorder="1" applyAlignment="1" applyProtection="1">
      <alignment horizontal="left" vertical="center" shrinkToFit="1"/>
      <protection locked="0"/>
    </xf>
    <xf numFmtId="0" fontId="0" fillId="0" borderId="27" xfId="0" applyBorder="1" applyAlignment="1" applyProtection="1">
      <alignment horizontal="left" vertical="center" shrinkToFit="1"/>
      <protection locked="0"/>
    </xf>
    <xf numFmtId="0" fontId="0" fillId="0" borderId="157" xfId="0" applyBorder="1" applyAlignment="1" applyProtection="1">
      <alignment horizontal="left" vertical="center" shrinkToFit="1"/>
      <protection locked="0"/>
    </xf>
    <xf numFmtId="0" fontId="7" fillId="38" borderId="158" xfId="0" applyFont="1" applyFill="1" applyBorder="1" applyAlignment="1">
      <alignment horizontal="center" vertical="center" wrapText="1"/>
    </xf>
    <xf numFmtId="0" fontId="0" fillId="38" borderId="159" xfId="0" applyFill="1" applyBorder="1" applyAlignment="1">
      <alignment horizontal="center"/>
    </xf>
    <xf numFmtId="0" fontId="7" fillId="38" borderId="125" xfId="0" applyFont="1" applyFill="1" applyBorder="1" applyAlignment="1">
      <alignment vertical="center"/>
    </xf>
    <xf numFmtId="0" fontId="0" fillId="38" borderId="10" xfId="0" applyFill="1" applyBorder="1" applyAlignment="1">
      <alignment/>
    </xf>
    <xf numFmtId="0" fontId="0" fillId="38" borderId="160" xfId="0" applyFill="1" applyBorder="1" applyAlignment="1">
      <alignment/>
    </xf>
    <xf numFmtId="0" fontId="0" fillId="38" borderId="61" xfId="0" applyFill="1" applyBorder="1" applyAlignment="1">
      <alignment/>
    </xf>
    <xf numFmtId="0" fontId="0" fillId="38" borderId="0" xfId="0" applyFill="1" applyAlignment="1">
      <alignment/>
    </xf>
    <xf numFmtId="0" fontId="0" fillId="38" borderId="161" xfId="0" applyFill="1" applyBorder="1" applyAlignment="1">
      <alignment/>
    </xf>
    <xf numFmtId="0" fontId="2" fillId="38" borderId="10" xfId="0" applyFont="1" applyFill="1" applyBorder="1" applyAlignment="1">
      <alignment horizontal="center" vertical="center"/>
    </xf>
    <xf numFmtId="4" fontId="26" fillId="41" borderId="19" xfId="0" applyNumberFormat="1" applyFont="1" applyFill="1" applyBorder="1" applyAlignment="1">
      <alignment vertical="center"/>
    </xf>
    <xf numFmtId="0" fontId="21" fillId="41" borderId="131" xfId="0" applyFont="1" applyFill="1" applyBorder="1" applyAlignment="1">
      <alignment vertical="center"/>
    </xf>
    <xf numFmtId="0" fontId="2" fillId="38" borderId="125" xfId="0" applyFont="1" applyFill="1" applyBorder="1" applyAlignment="1">
      <alignment horizontal="center" vertical="center" shrinkToFit="1"/>
    </xf>
    <xf numFmtId="0" fontId="0" fillId="38" borderId="10" xfId="0" applyFont="1" applyFill="1" applyBorder="1" applyAlignment="1">
      <alignment vertical="center" shrinkToFit="1"/>
    </xf>
    <xf numFmtId="0" fontId="0" fillId="38" borderId="130" xfId="0" applyFont="1" applyFill="1" applyBorder="1" applyAlignment="1">
      <alignment vertical="center" shrinkToFit="1"/>
    </xf>
    <xf numFmtId="0" fontId="0" fillId="38" borderId="117" xfId="0" applyFont="1" applyFill="1" applyBorder="1" applyAlignment="1">
      <alignment vertical="center" shrinkToFit="1"/>
    </xf>
    <xf numFmtId="0" fontId="7" fillId="33" borderId="40" xfId="0" applyFont="1" applyFill="1" applyBorder="1" applyAlignment="1">
      <alignment horizontal="center" vertical="center" wrapText="1"/>
    </xf>
    <xf numFmtId="0" fontId="0" fillId="0" borderId="162" xfId="0" applyBorder="1" applyAlignment="1">
      <alignment horizontal="center" vertical="center" wrapText="1"/>
    </xf>
    <xf numFmtId="0" fontId="7" fillId="33" borderId="163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7" fillId="38" borderId="125" xfId="0" applyFont="1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0" fontId="0" fillId="38" borderId="160" xfId="0" applyFill="1" applyBorder="1" applyAlignment="1">
      <alignment vertical="center"/>
    </xf>
    <xf numFmtId="0" fontId="0" fillId="38" borderId="135" xfId="0" applyFill="1" applyBorder="1" applyAlignment="1">
      <alignment vertical="center"/>
    </xf>
    <xf numFmtId="0" fontId="0" fillId="38" borderId="115" xfId="0" applyFill="1" applyBorder="1" applyAlignment="1">
      <alignment vertical="center"/>
    </xf>
    <xf numFmtId="0" fontId="0" fillId="38" borderId="162" xfId="0" applyFill="1" applyBorder="1" applyAlignment="1">
      <alignment vertical="center"/>
    </xf>
    <xf numFmtId="2" fontId="6" fillId="33" borderId="12" xfId="0" applyNumberFormat="1" applyFont="1" applyFill="1" applyBorder="1" applyAlignment="1">
      <alignment/>
    </xf>
    <xf numFmtId="0" fontId="0" fillId="0" borderId="113" xfId="0" applyBorder="1" applyAlignment="1">
      <alignment/>
    </xf>
    <xf numFmtId="0" fontId="0" fillId="0" borderId="28" xfId="0" applyBorder="1" applyAlignment="1">
      <alignment/>
    </xf>
    <xf numFmtId="0" fontId="7" fillId="38" borderId="116" xfId="0" applyFont="1" applyFill="1" applyBorder="1" applyAlignment="1">
      <alignment vertical="center"/>
    </xf>
    <xf numFmtId="0" fontId="0" fillId="38" borderId="113" xfId="0" applyFill="1" applyBorder="1" applyAlignment="1">
      <alignment/>
    </xf>
    <xf numFmtId="0" fontId="0" fillId="38" borderId="120" xfId="0" applyFill="1" applyBorder="1" applyAlignment="1">
      <alignment/>
    </xf>
    <xf numFmtId="0" fontId="6" fillId="0" borderId="14" xfId="0" applyFont="1" applyBorder="1" applyAlignment="1" applyProtection="1">
      <alignment/>
      <protection locked="0"/>
    </xf>
    <xf numFmtId="0" fontId="6" fillId="0" borderId="48" xfId="0" applyFont="1" applyBorder="1" applyAlignment="1" applyProtection="1">
      <alignment/>
      <protection locked="0"/>
    </xf>
    <xf numFmtId="0" fontId="16" fillId="38" borderId="158" xfId="0" applyFont="1" applyFill="1" applyBorder="1" applyAlignment="1">
      <alignment horizontal="center" vertical="center" wrapText="1"/>
    </xf>
    <xf numFmtId="0" fontId="15" fillId="38" borderId="57" xfId="0" applyFont="1" applyFill="1" applyBorder="1" applyAlignment="1">
      <alignment horizontal="center" vertical="center" wrapText="1"/>
    </xf>
    <xf numFmtId="0" fontId="15" fillId="38" borderId="57" xfId="0" applyFont="1" applyFill="1" applyBorder="1" applyAlignment="1">
      <alignment/>
    </xf>
    <xf numFmtId="0" fontId="6" fillId="0" borderId="164" xfId="0" applyFont="1" applyBorder="1" applyAlignment="1" applyProtection="1">
      <alignment/>
      <protection locked="0"/>
    </xf>
    <xf numFmtId="0" fontId="6" fillId="0" borderId="165" xfId="0" applyFont="1" applyBorder="1" applyAlignment="1" applyProtection="1">
      <alignment/>
      <protection locked="0"/>
    </xf>
    <xf numFmtId="0" fontId="2" fillId="43" borderId="93" xfId="0" applyFont="1" applyFill="1" applyBorder="1" applyAlignment="1">
      <alignment horizontal="center" vertical="center"/>
    </xf>
    <xf numFmtId="0" fontId="0" fillId="43" borderId="94" xfId="0" applyFill="1" applyBorder="1" applyAlignment="1">
      <alignment horizontal="center" vertical="center"/>
    </xf>
    <xf numFmtId="0" fontId="2" fillId="43" borderId="166" xfId="0" applyFont="1" applyFill="1" applyBorder="1" applyAlignment="1">
      <alignment horizontal="center" vertical="center"/>
    </xf>
    <xf numFmtId="0" fontId="2" fillId="43" borderId="167" xfId="0" applyFont="1" applyFill="1" applyBorder="1" applyAlignment="1">
      <alignment horizontal="center" vertical="center"/>
    </xf>
    <xf numFmtId="2" fontId="9" fillId="40" borderId="168" xfId="0" applyNumberFormat="1" applyFont="1" applyFill="1" applyBorder="1" applyAlignment="1" applyProtection="1">
      <alignment horizontal="center" vertical="center"/>
      <protection locked="0"/>
    </xf>
    <xf numFmtId="2" fontId="9" fillId="40" borderId="16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quotePrefix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6">
    <dxf>
      <font>
        <color indexed="55"/>
      </font>
      <fill>
        <patternFill>
          <bgColor indexed="22"/>
        </patternFill>
      </fill>
      <border>
        <top style="thin">
          <color indexed="55"/>
        </top>
        <bottom style="thin">
          <color indexed="9"/>
        </bottom>
      </border>
    </dxf>
    <dxf>
      <font>
        <color indexed="55"/>
      </font>
      <fill>
        <patternFill>
          <bgColor indexed="22"/>
        </patternFill>
      </fill>
      <border>
        <top style="thin">
          <color indexed="55"/>
        </top>
        <bottom style="thin">
          <color indexed="9"/>
        </bottom>
      </border>
    </dxf>
    <dxf>
      <font>
        <color indexed="55"/>
      </font>
      <fill>
        <patternFill>
          <bgColor indexed="22"/>
        </patternFill>
      </fill>
      <border>
        <top style="thin">
          <color indexed="55"/>
        </top>
        <bottom style="thin">
          <color indexed="9"/>
        </bottom>
      </border>
    </dxf>
    <dxf>
      <font>
        <color auto="1"/>
      </font>
    </dxf>
    <dxf>
      <font>
        <color indexed="23"/>
      </font>
    </dxf>
    <dxf>
      <font>
        <color indexed="22"/>
      </font>
      <fill>
        <patternFill>
          <bgColor indexed="22"/>
        </patternFill>
      </fill>
      <border>
        <top style="thin">
          <color indexed="9"/>
        </top>
        <bottom style="thin">
          <color indexed="55"/>
        </bottom>
      </border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55"/>
      </font>
    </dxf>
    <dxf>
      <font>
        <color indexed="9"/>
      </font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55"/>
      </font>
    </dxf>
    <dxf>
      <font>
        <color indexed="22"/>
      </font>
      <fill>
        <patternFill>
          <bgColor indexed="22"/>
        </patternFill>
      </fill>
    </dxf>
    <dxf>
      <font>
        <color indexed="55"/>
      </font>
    </dxf>
    <dxf>
      <font>
        <color indexed="22"/>
      </font>
      <fill>
        <patternFill>
          <bgColor indexed="22"/>
        </patternFill>
      </fill>
    </dxf>
    <dxf>
      <font>
        <color indexed="55"/>
      </font>
    </dxf>
    <dxf>
      <font>
        <color indexed="9"/>
      </font>
      <fill>
        <patternFill patternType="none">
          <bgColor indexed="65"/>
        </patternFill>
      </fill>
    </dxf>
    <dxf>
      <font>
        <color indexed="55"/>
      </font>
    </dxf>
    <dxf>
      <font>
        <color indexed="9"/>
      </font>
      <fill>
        <patternFill patternType="none">
          <bgColor indexed="65"/>
        </patternFill>
      </fill>
    </dxf>
    <dxf>
      <font>
        <color indexed="22"/>
      </font>
      <fill>
        <patternFill>
          <bgColor indexed="22"/>
        </patternFill>
      </fill>
    </dxf>
    <dxf>
      <font>
        <color rgb="FFDDDDDD"/>
      </font>
      <fill>
        <patternFill>
          <bgColor rgb="FFDDDDDD"/>
        </patternFill>
      </fill>
      <border>
        <top style="thin"/>
        <bottom style="thin">
          <color rgb="FF00FFFF"/>
        </bottom>
      </border>
    </dxf>
    <dxf>
      <font>
        <color rgb="FFB2B2B2"/>
      </font>
      <fill>
        <patternFill>
          <bgColor rgb="FFDDDDDD"/>
        </patternFill>
      </fill>
      <border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5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26</xdr:row>
      <xdr:rowOff>114300</xdr:rowOff>
    </xdr:from>
    <xdr:to>
      <xdr:col>3</xdr:col>
      <xdr:colOff>285750</xdr:colOff>
      <xdr:row>33</xdr:row>
      <xdr:rowOff>95250</xdr:rowOff>
    </xdr:to>
    <xdr:pic>
      <xdr:nvPicPr>
        <xdr:cNvPr id="1" name="Picture 352" descr="ZKN_korporacyjny_negatyw_SZA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33925"/>
          <a:ext cx="21240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207"/>
  <sheetViews>
    <sheetView showGridLines="0" showZeros="0" tabSelected="1" zoomScalePageLayoutView="0" workbookViewId="0" topLeftCell="A1">
      <selection activeCell="D10" sqref="D10"/>
    </sheetView>
  </sheetViews>
  <sheetFormatPr defaultColWidth="9.140625" defaultRowHeight="12.75"/>
  <cols>
    <col min="1" max="1" width="14.57421875" style="63" customWidth="1"/>
    <col min="2" max="2" width="6.00390625" style="63" customWidth="1"/>
    <col min="3" max="3" width="9.140625" style="63" customWidth="1"/>
    <col min="4" max="4" width="6.421875" style="63" customWidth="1"/>
    <col min="5" max="5" width="28.140625" style="63" customWidth="1"/>
    <col min="6" max="6" width="7.421875" style="63" customWidth="1"/>
    <col min="7" max="7" width="5.421875" style="63" bestFit="1" customWidth="1"/>
    <col min="8" max="8" width="7.421875" style="63" bestFit="1" customWidth="1"/>
    <col min="9" max="9" width="11.00390625" style="63" customWidth="1"/>
    <col min="10" max="11" width="10.7109375" style="63" customWidth="1"/>
    <col min="12" max="12" width="18.7109375" style="63" hidden="1" customWidth="1"/>
    <col min="13" max="13" width="4.7109375" style="63" hidden="1" customWidth="1"/>
    <col min="14" max="16384" width="9.140625" style="63" customWidth="1"/>
  </cols>
  <sheetData>
    <row r="1" spans="1:9" ht="15" customHeight="1" thickBot="1">
      <c r="A1" s="337" t="str">
        <f>CONCATENATE("ALPOL EKO PLUS - ",B65," ",B66)</f>
        <v>ALPOL EKO PLUS - Kalkulator systemu ociepleń - wersja 2010.05 PL</v>
      </c>
      <c r="B1" s="337"/>
      <c r="C1" s="337"/>
      <c r="D1" s="337"/>
      <c r="E1" s="338"/>
      <c r="F1" s="351" t="str">
        <f>B68</f>
        <v>Kalkulacja wg. cen:</v>
      </c>
      <c r="G1" s="352"/>
      <c r="H1" s="352"/>
      <c r="I1" s="236" t="s">
        <v>44</v>
      </c>
    </row>
    <row r="2" spans="1:12" s="72" customFormat="1" ht="15" customHeight="1" hidden="1">
      <c r="A2" s="273" t="str">
        <f>B74</f>
        <v>Dystrybutor:</v>
      </c>
      <c r="B2" s="274"/>
      <c r="C2" s="361" t="s">
        <v>34</v>
      </c>
      <c r="D2" s="361"/>
      <c r="E2" s="362"/>
      <c r="F2" s="363" t="str">
        <f>B77</f>
        <v>Rabat dustrybutora [%]:</v>
      </c>
      <c r="G2" s="363"/>
      <c r="H2" s="363"/>
      <c r="I2" s="238"/>
      <c r="K2" s="120"/>
      <c r="L2" s="128" t="str">
        <f>Ceny!E50</f>
        <v>brutto</v>
      </c>
    </row>
    <row r="3" spans="1:12" s="72" customFormat="1" ht="15" customHeight="1" hidden="1" thickBot="1">
      <c r="A3" s="275"/>
      <c r="B3" s="275"/>
      <c r="C3" s="261" t="s">
        <v>35</v>
      </c>
      <c r="D3" s="261"/>
      <c r="E3" s="262"/>
      <c r="F3" s="364" t="str">
        <f>B78</f>
        <v>Narzut dystrybutora [%]:</v>
      </c>
      <c r="G3" s="364"/>
      <c r="H3" s="364"/>
      <c r="I3" s="239"/>
      <c r="L3" s="135" t="str">
        <f>IF($I$1=$L$2,B72,B71)</f>
        <v>Cena netto</v>
      </c>
    </row>
    <row r="4" spans="1:12" ht="15.75" customHeight="1" thickTop="1">
      <c r="A4" s="141"/>
      <c r="B4" s="141"/>
      <c r="C4" s="141"/>
      <c r="D4" s="141"/>
      <c r="E4" s="141"/>
      <c r="F4" s="141"/>
      <c r="G4" s="141"/>
      <c r="H4" s="141"/>
      <c r="I4" s="141"/>
      <c r="L4" s="135" t="str">
        <f>IF($I$1=$L$2,B151,B150)</f>
        <v>ceny netto</v>
      </c>
    </row>
    <row r="5" spans="1:11" ht="15.75" customHeight="1">
      <c r="A5" s="339" t="str">
        <f>B81</f>
        <v>Projekt:</v>
      </c>
      <c r="B5" s="270" t="s">
        <v>45</v>
      </c>
      <c r="C5" s="271"/>
      <c r="D5" s="271"/>
      <c r="E5" s="271"/>
      <c r="F5" s="271"/>
      <c r="G5" s="272"/>
      <c r="H5" s="353" t="str">
        <f>B83</f>
        <v>data sporządzenia</v>
      </c>
      <c r="I5" s="354"/>
      <c r="J5" s="62"/>
      <c r="K5" s="62"/>
    </row>
    <row r="6" spans="1:11" ht="15.75" customHeight="1">
      <c r="A6" s="340"/>
      <c r="B6" s="355" t="s">
        <v>46</v>
      </c>
      <c r="C6" s="356"/>
      <c r="D6" s="356"/>
      <c r="E6" s="356"/>
      <c r="F6" s="356"/>
      <c r="G6" s="357"/>
      <c r="H6" s="282">
        <v>40291</v>
      </c>
      <c r="I6" s="283"/>
      <c r="J6" s="62"/>
      <c r="K6" s="62"/>
    </row>
    <row r="7" spans="1:13" ht="21.75" customHeight="1">
      <c r="A7" s="263"/>
      <c r="B7" s="264"/>
      <c r="C7" s="264"/>
      <c r="D7" s="264"/>
      <c r="E7" s="264"/>
      <c r="F7" s="264"/>
      <c r="G7" s="264"/>
      <c r="H7" s="264"/>
      <c r="I7" s="264"/>
      <c r="J7" s="62"/>
      <c r="K7" s="62"/>
      <c r="M7" s="64"/>
    </row>
    <row r="8" spans="1:11" ht="25.5" customHeight="1">
      <c r="A8" s="265" t="str">
        <f>CONCATENATE(B84," ALPOL EKO PLUS")</f>
        <v>SYSTEM DOCIEPLANIA ŚCIAN ALPOL EKO PLUS</v>
      </c>
      <c r="B8" s="266"/>
      <c r="C8" s="266"/>
      <c r="D8" s="266"/>
      <c r="E8" s="266"/>
      <c r="F8" s="266"/>
      <c r="G8" s="266"/>
      <c r="H8" s="266"/>
      <c r="I8" s="267"/>
      <c r="J8" s="62"/>
      <c r="K8" s="62"/>
    </row>
    <row r="9" spans="1:11" ht="21" customHeight="1">
      <c r="A9" s="276" t="str">
        <f>B85</f>
        <v>docieplenie ścian zewnętrznych z zastosowaniem styropianu</v>
      </c>
      <c r="B9" s="277"/>
      <c r="C9" s="277"/>
      <c r="D9" s="277"/>
      <c r="E9" s="277"/>
      <c r="F9" s="277"/>
      <c r="G9" s="277"/>
      <c r="H9" s="277"/>
      <c r="I9" s="278"/>
      <c r="J9" s="62"/>
      <c r="K9" s="62"/>
    </row>
    <row r="10" spans="1:11" s="66" customFormat="1" ht="15.75" customHeight="1">
      <c r="A10" s="279" t="str">
        <f>B86</f>
        <v>Powierzchnia ocieplenia [m2]:</v>
      </c>
      <c r="B10" s="280"/>
      <c r="C10" s="281"/>
      <c r="D10" s="33">
        <v>1000</v>
      </c>
      <c r="E10" s="127" t="str">
        <f>B88</f>
        <v>Rodzaj i parametry ściany:</v>
      </c>
      <c r="F10" s="268" t="s">
        <v>74</v>
      </c>
      <c r="G10" s="268"/>
      <c r="H10" s="268"/>
      <c r="I10" s="269"/>
      <c r="J10" s="65"/>
      <c r="K10" s="65"/>
    </row>
    <row r="11" spans="1:11" s="66" customFormat="1" ht="15.75" customHeight="1" hidden="1">
      <c r="A11" s="124"/>
      <c r="B11" s="125"/>
      <c r="C11" s="126"/>
      <c r="D11" s="96"/>
      <c r="E11" s="97"/>
      <c r="F11" s="98"/>
      <c r="G11" s="98"/>
      <c r="H11" s="98"/>
      <c r="I11" s="99"/>
      <c r="J11" s="65"/>
      <c r="K11" s="65"/>
    </row>
    <row r="12" spans="1:13" s="68" customFormat="1" ht="15.75" customHeight="1" thickBot="1">
      <c r="A12" s="358" t="str">
        <f>B87</f>
        <v>Grubość materiału izolacji [cm]:</v>
      </c>
      <c r="B12" s="359"/>
      <c r="C12" s="360"/>
      <c r="D12" s="34">
        <v>10</v>
      </c>
      <c r="E12" s="123" t="str">
        <f>B95</f>
        <v>Materiał konstrukcyjny ściany:</v>
      </c>
      <c r="F12" s="365" t="s">
        <v>80</v>
      </c>
      <c r="G12" s="366"/>
      <c r="H12" s="366"/>
      <c r="I12" s="367"/>
      <c r="J12" s="67"/>
      <c r="K12" s="67"/>
      <c r="M12" s="118">
        <f>IF(D12&gt;0,1,0)</f>
        <v>1</v>
      </c>
    </row>
    <row r="13" spans="1:12" ht="21.75" customHeight="1" thickTop="1">
      <c r="A13" s="334"/>
      <c r="B13" s="334"/>
      <c r="C13" s="334"/>
      <c r="D13" s="334"/>
      <c r="E13" s="334"/>
      <c r="F13" s="334"/>
      <c r="G13" s="334"/>
      <c r="H13" s="334"/>
      <c r="I13" s="334"/>
      <c r="J13" s="152" t="str">
        <f>B108</f>
        <v>Rabaty</v>
      </c>
      <c r="K13" s="401" t="str">
        <f>H14</f>
        <v>Cena netto [PLN]</v>
      </c>
      <c r="L13" s="142" t="s">
        <v>30</v>
      </c>
    </row>
    <row r="14" spans="1:12" ht="15.75" customHeight="1">
      <c r="A14" s="370" t="str">
        <f>CONCATENATE("ALPOL EKO PLUS - ",B110)</f>
        <v>ALPOL EKO PLUS - Materiały warstwy izolacyjno- zbrojeniowej</v>
      </c>
      <c r="B14" s="371"/>
      <c r="C14" s="371"/>
      <c r="D14" s="371"/>
      <c r="E14" s="372"/>
      <c r="F14" s="74" t="str">
        <f>B103</f>
        <v>Zużycie</v>
      </c>
      <c r="G14" s="383" t="str">
        <f>B106</f>
        <v>Jedn.</v>
      </c>
      <c r="H14" s="385" t="str">
        <f>CONCATENATE(L3," ",B73)</f>
        <v>Cena netto [PLN]</v>
      </c>
      <c r="I14" s="386"/>
      <c r="J14" s="153" t="str">
        <f>B109</f>
        <v>od pozycji</v>
      </c>
      <c r="K14" s="402"/>
      <c r="L14" s="143">
        <v>1</v>
      </c>
    </row>
    <row r="15" spans="1:11" ht="15.75" customHeight="1">
      <c r="A15" s="373"/>
      <c r="B15" s="374"/>
      <c r="C15" s="374"/>
      <c r="D15" s="374"/>
      <c r="E15" s="375"/>
      <c r="F15" s="137" t="str">
        <f>CONCATENATE(B104," ",B105)</f>
        <v>na 1m2</v>
      </c>
      <c r="G15" s="384"/>
      <c r="H15" s="138" t="str">
        <f>B106</f>
        <v>Jedn.</v>
      </c>
      <c r="I15" s="136" t="str">
        <f>B105</f>
        <v>1m2</v>
      </c>
      <c r="J15" s="154" t="s">
        <v>9</v>
      </c>
      <c r="K15" s="402" t="str">
        <f>B201</f>
        <v>tnki    grunty   farby   grupa IV</v>
      </c>
    </row>
    <row r="16" spans="1:12" ht="12.75" customHeight="1">
      <c r="A16" s="247" t="str">
        <f>B111</f>
        <v>Klej do przyklejania płyt</v>
      </c>
      <c r="B16" s="255"/>
      <c r="C16" s="256" t="s">
        <v>51</v>
      </c>
      <c r="D16" s="257"/>
      <c r="E16" s="257"/>
      <c r="F16" s="240">
        <v>3.5</v>
      </c>
      <c r="G16" s="6" t="str">
        <f>B204</f>
        <v>kg</v>
      </c>
      <c r="H16" s="7">
        <f>IF($C16&gt;0,VLOOKUP($C16,produkty,6,0)*cena,0)*L16</f>
        <v>0.92</v>
      </c>
      <c r="I16" s="8">
        <f>H16*F16</f>
        <v>3.22</v>
      </c>
      <c r="J16" s="156"/>
      <c r="K16" s="403"/>
      <c r="L16" s="94">
        <f>(1-J16)</f>
        <v>1</v>
      </c>
    </row>
    <row r="17" spans="1:12" ht="12.75" customHeight="1">
      <c r="A17" s="247" t="str">
        <f>B112</f>
        <v>Siatka zbrojąca</v>
      </c>
      <c r="B17" s="255"/>
      <c r="C17" s="349" t="s">
        <v>39</v>
      </c>
      <c r="D17" s="350"/>
      <c r="E17" s="350"/>
      <c r="F17" s="237">
        <v>1.1</v>
      </c>
      <c r="G17" s="6" t="str">
        <f>B205</f>
        <v>m2</v>
      </c>
      <c r="H17" s="7">
        <f>IF($C17&gt;0,VLOOKUP($C17,produkty,6,0)*cena,0)*L17</f>
        <v>2.1</v>
      </c>
      <c r="I17" s="8">
        <f>H17*F17</f>
        <v>2.3100000000000005</v>
      </c>
      <c r="J17" s="157"/>
      <c r="K17" s="403"/>
      <c r="L17" s="94">
        <f>(1-J17)</f>
        <v>1</v>
      </c>
    </row>
    <row r="18" spans="1:12" ht="12.75" customHeight="1">
      <c r="A18" s="247" t="str">
        <f>B113</f>
        <v>Klej do zatapiania siatki</v>
      </c>
      <c r="B18" s="255"/>
      <c r="C18" s="404" t="s">
        <v>40</v>
      </c>
      <c r="D18" s="405"/>
      <c r="E18" s="405"/>
      <c r="F18" s="241">
        <v>4</v>
      </c>
      <c r="G18" s="6" t="str">
        <f>B204</f>
        <v>kg</v>
      </c>
      <c r="H18" s="9">
        <f>IF($C18&gt;0,VLOOKUP($C18,produkty,6,0)*cena,0)*L18</f>
        <v>1.18</v>
      </c>
      <c r="I18" s="8">
        <f>H18*F18</f>
        <v>4.72</v>
      </c>
      <c r="J18" s="158"/>
      <c r="K18" s="403"/>
      <c r="L18" s="94">
        <f>(1-J18)</f>
        <v>1</v>
      </c>
    </row>
    <row r="19" spans="1:13" ht="24" customHeight="1">
      <c r="A19" s="396" t="str">
        <f>CONCATENATE("ALPOL EKO PLUS - ",B114)</f>
        <v>ALPOL EKO PLUS - Materiały wyprawy elewacyjnej</v>
      </c>
      <c r="B19" s="397"/>
      <c r="C19" s="397"/>
      <c r="D19" s="397"/>
      <c r="E19" s="398"/>
      <c r="F19" s="393"/>
      <c r="G19" s="394"/>
      <c r="H19" s="394"/>
      <c r="I19" s="395"/>
      <c r="J19" s="101"/>
      <c r="K19" s="155"/>
      <c r="L19" s="94"/>
      <c r="M19" s="109">
        <f>M20+M22+M24</f>
        <v>0</v>
      </c>
    </row>
    <row r="20" spans="1:13" ht="12.75">
      <c r="A20" s="247" t="str">
        <f aca="true" t="shared" si="0" ref="A20:A25">B115</f>
        <v>Tynk dekoracyjny</v>
      </c>
      <c r="B20" s="248"/>
      <c r="C20" s="399" t="s">
        <v>52</v>
      </c>
      <c r="D20" s="400"/>
      <c r="E20" s="400"/>
      <c r="F20" s="5">
        <f>IF($C20&gt;0,VLOOKUP($C20,produkty,7,0),0)</f>
        <v>2.3</v>
      </c>
      <c r="G20" s="6" t="str">
        <f>B204</f>
        <v>kg</v>
      </c>
      <c r="H20" s="7">
        <f>IF(M20=0,VLOOKUP($C20,produkty,6,0)*cena,K20*(1-I2)*(1+I3))*L20</f>
        <v>5.81</v>
      </c>
      <c r="I20" s="8">
        <f>H20*F20</f>
        <v>13.362999999999998</v>
      </c>
      <c r="J20" s="159"/>
      <c r="K20" s="183">
        <v>0</v>
      </c>
      <c r="L20" s="94">
        <f>(1-J20)</f>
        <v>1</v>
      </c>
      <c r="M20" s="109">
        <f>IF(AND(C21=Ceny!A51,F20&gt;0,C20&gt;"AT 35"),1,0)</f>
        <v>0</v>
      </c>
    </row>
    <row r="21" spans="1:12" ht="12.75">
      <c r="A21" s="247" t="str">
        <f t="shared" si="0"/>
        <v>Dopłata do koloru tynku</v>
      </c>
      <c r="B21" s="288"/>
      <c r="C21" s="256" t="s">
        <v>42</v>
      </c>
      <c r="D21" s="257"/>
      <c r="E21" s="257"/>
      <c r="F21" s="10"/>
      <c r="G21" s="6"/>
      <c r="H21" s="9">
        <f>IF(AND(C20&gt;"AT 349",C20&lt;"AT 390"),VLOOKUP(C21,tabela_dopłaty_tf,2,0)*H20,0)</f>
        <v>0</v>
      </c>
      <c r="I21" s="8">
        <f>H21*F20</f>
        <v>0</v>
      </c>
      <c r="J21" s="102"/>
      <c r="K21" s="144"/>
      <c r="L21" s="94">
        <f>(1-J20)</f>
        <v>1</v>
      </c>
    </row>
    <row r="22" spans="1:13" ht="12.75">
      <c r="A22" s="294" t="str">
        <f t="shared" si="0"/>
        <v>Grunt podtynkowy</v>
      </c>
      <c r="B22" s="295"/>
      <c r="C22" s="296" t="str">
        <f>IF($C20&gt;0,VLOOKUP($C20,produkty,8,0),0)</f>
        <v>AG 705 - Grunt pod tynki akrylowe</v>
      </c>
      <c r="D22" s="297"/>
      <c r="E22" s="297"/>
      <c r="F22" s="5">
        <f>IF($C22&gt;0,VLOOKUP($C22,produkty,7,0),0)</f>
        <v>0.25</v>
      </c>
      <c r="G22" s="6" t="str">
        <f>B204</f>
        <v>kg</v>
      </c>
      <c r="H22" s="7">
        <f>IF(M22=0,VLOOKUP($C22,produkty,6,0)*cena,K22*(1-I2)*(1+I3))*L22</f>
        <v>5.199999999999999</v>
      </c>
      <c r="I22" s="8">
        <f>H22*F22</f>
        <v>1.2999999999999998</v>
      </c>
      <c r="J22" s="159">
        <v>0</v>
      </c>
      <c r="K22" s="183">
        <v>0</v>
      </c>
      <c r="L22" s="94">
        <f>(1-J22)</f>
        <v>1</v>
      </c>
      <c r="M22" s="109">
        <f>IF(AND(C23=Ceny!A58,F22&gt;0,C22&gt;"AG 702"),1,0)</f>
        <v>0</v>
      </c>
    </row>
    <row r="23" spans="1:12" ht="12.75">
      <c r="A23" s="247" t="str">
        <f t="shared" si="0"/>
        <v>Dopłata do koloru gruntu</v>
      </c>
      <c r="B23" s="255"/>
      <c r="C23" s="243" t="s">
        <v>43</v>
      </c>
      <c r="D23" s="244"/>
      <c r="E23" s="244"/>
      <c r="F23" s="5"/>
      <c r="G23" s="6"/>
      <c r="H23" s="7">
        <f>IF(C22&lt;"AG 705",0,VLOOKUP(C23,tabela_dopłaty_g,2,0)*H22)</f>
        <v>0</v>
      </c>
      <c r="I23" s="8">
        <f>H23*F22</f>
        <v>0</v>
      </c>
      <c r="J23" s="102"/>
      <c r="K23" s="144"/>
      <c r="L23" s="94">
        <f>(1-J22)</f>
        <v>1</v>
      </c>
    </row>
    <row r="24" spans="1:13" ht="12.75">
      <c r="A24" s="247" t="str">
        <f t="shared" si="0"/>
        <v>Farba elewacyjna</v>
      </c>
      <c r="B24" s="255"/>
      <c r="C24" s="245" t="s">
        <v>41</v>
      </c>
      <c r="D24" s="246"/>
      <c r="E24" s="246"/>
      <c r="F24" s="5">
        <f>IF(AND(C20&lt;"AT 350",C24&gt;0),VLOOKUP($C24,produkty,7,0)*VLOOKUP($C20,produkty,9,0),0)</f>
        <v>0</v>
      </c>
      <c r="G24" s="6" t="str">
        <f>B207</f>
        <v>litr</v>
      </c>
      <c r="H24" s="7">
        <f>IF(AND(C20&lt;"AT 350",M24=0),VLOOKUP($C24,produkty,6,0)*cena,IF(AND(C20&lt;"AT 350",M24=1),K24*(1-I2)*(1+I3),0))*L24</f>
        <v>0</v>
      </c>
      <c r="I24" s="8">
        <f>H24*F24</f>
        <v>0</v>
      </c>
      <c r="J24" s="159">
        <v>0</v>
      </c>
      <c r="K24" s="183">
        <v>0</v>
      </c>
      <c r="L24" s="94">
        <f>(1-J24)</f>
        <v>1</v>
      </c>
      <c r="M24" s="109">
        <f>IF(AND(C25=Ceny!A51,F24&gt;0),1,0)</f>
        <v>0</v>
      </c>
    </row>
    <row r="25" spans="1:12" ht="13.5" thickBot="1">
      <c r="A25" s="253" t="str">
        <f t="shared" si="0"/>
        <v>Dopłata do koloru farby</v>
      </c>
      <c r="B25" s="254"/>
      <c r="C25" s="251" t="s">
        <v>50</v>
      </c>
      <c r="D25" s="251"/>
      <c r="E25" s="251"/>
      <c r="F25" s="95"/>
      <c r="G25" s="11"/>
      <c r="H25" s="12">
        <f>IF(C24&lt;&gt;B160,VLOOKUP(C25,tabela_dopłaty_tf,2,0)*H24,0)</f>
        <v>0</v>
      </c>
      <c r="I25" s="13">
        <f>H25*F24</f>
        <v>0</v>
      </c>
      <c r="J25" s="103">
        <f>SUM(J16:J24)</f>
        <v>0</v>
      </c>
      <c r="K25" s="145"/>
      <c r="L25" s="94">
        <f>(1-J24)</f>
        <v>1</v>
      </c>
    </row>
    <row r="26" spans="1:11" ht="9" customHeight="1" thickTop="1">
      <c r="A26" s="252"/>
      <c r="B26" s="252"/>
      <c r="C26" s="252"/>
      <c r="D26" s="252"/>
      <c r="E26" s="252"/>
      <c r="F26" s="252"/>
      <c r="G26" s="252"/>
      <c r="H26" s="252"/>
      <c r="I26" s="252"/>
      <c r="J26" s="62"/>
      <c r="K26" s="62"/>
    </row>
    <row r="27" spans="1:11" ht="12.75">
      <c r="A27" s="171"/>
      <c r="B27" s="172"/>
      <c r="C27" s="258"/>
      <c r="D27" s="303"/>
      <c r="E27" s="14" t="str">
        <f>B130</f>
        <v>RAZEM:</v>
      </c>
      <c r="F27" s="4">
        <v>1</v>
      </c>
      <c r="G27" s="15" t="str">
        <f>B205</f>
        <v>m2</v>
      </c>
      <c r="H27" s="31" t="str">
        <f>B73</f>
        <v>[PLN]</v>
      </c>
      <c r="I27" s="16">
        <f>SUM(I16:I25)</f>
        <v>24.913</v>
      </c>
      <c r="J27" s="62"/>
      <c r="K27" s="62"/>
    </row>
    <row r="28" spans="1:11" ht="6.75" customHeight="1">
      <c r="A28" s="173"/>
      <c r="B28" s="147"/>
      <c r="C28" s="259"/>
      <c r="D28" s="304"/>
      <c r="E28" s="249"/>
      <c r="F28" s="249"/>
      <c r="G28" s="249"/>
      <c r="H28" s="249"/>
      <c r="I28" s="250"/>
      <c r="J28" s="62"/>
      <c r="K28" s="62"/>
    </row>
    <row r="29" spans="1:11" ht="13.5" customHeight="1">
      <c r="A29" s="173"/>
      <c r="B29" s="147"/>
      <c r="C29" s="259"/>
      <c r="D29" s="304"/>
      <c r="E29" s="18" t="str">
        <f>B130</f>
        <v>RAZEM:</v>
      </c>
      <c r="F29" s="85">
        <f>$D$10</f>
        <v>1000</v>
      </c>
      <c r="G29" s="39" t="str">
        <f>B205</f>
        <v>m2</v>
      </c>
      <c r="H29" s="32" t="str">
        <f>B73</f>
        <v>[PLN]</v>
      </c>
      <c r="I29" s="150">
        <f>I27*F29</f>
        <v>24913</v>
      </c>
      <c r="J29" s="62"/>
      <c r="K29" s="62"/>
    </row>
    <row r="30" spans="1:11" ht="6.75" customHeight="1">
      <c r="A30" s="173"/>
      <c r="B30" s="147"/>
      <c r="C30" s="259"/>
      <c r="D30" s="304"/>
      <c r="E30" s="327"/>
      <c r="F30" s="249"/>
      <c r="G30" s="249"/>
      <c r="H30" s="249"/>
      <c r="I30" s="250"/>
      <c r="J30" s="62"/>
      <c r="K30" s="62"/>
    </row>
    <row r="31" spans="1:11" ht="12.75">
      <c r="A31" s="173"/>
      <c r="B31" s="147"/>
      <c r="C31" s="259"/>
      <c r="D31" s="304"/>
      <c r="E31" s="18" t="str">
        <f>B131</f>
        <v>RABAT NA SYSTEM:</v>
      </c>
      <c r="F31" s="20"/>
      <c r="G31" s="19" t="s">
        <v>9</v>
      </c>
      <c r="H31" s="32" t="str">
        <f>B73</f>
        <v>[PLN]</v>
      </c>
      <c r="I31" s="21">
        <f>I29*F31/100*(-1)</f>
        <v>0</v>
      </c>
      <c r="J31" s="62"/>
      <c r="K31" s="62"/>
    </row>
    <row r="32" spans="1:11" ht="12.75">
      <c r="A32" s="174"/>
      <c r="B32" s="148"/>
      <c r="C32" s="259"/>
      <c r="D32" s="304"/>
      <c r="E32" s="324"/>
      <c r="F32" s="325"/>
      <c r="G32" s="325"/>
      <c r="H32" s="325"/>
      <c r="I32" s="326"/>
      <c r="J32" s="62"/>
      <c r="K32" s="62"/>
    </row>
    <row r="33" spans="1:11" ht="12.75" customHeight="1">
      <c r="A33" s="175"/>
      <c r="B33" s="149"/>
      <c r="C33" s="259"/>
      <c r="D33" s="304"/>
      <c r="E33" s="379" t="str">
        <f>B132</f>
        <v>RAZEM MATERIAŁY ALPOL Z RABATEM:</v>
      </c>
      <c r="F33" s="380"/>
      <c r="G33" s="380"/>
      <c r="H33" s="376" t="str">
        <f>B73</f>
        <v>[PLN]</v>
      </c>
      <c r="I33" s="377">
        <f>I29+I31</f>
        <v>24913</v>
      </c>
      <c r="J33" s="62"/>
      <c r="K33" s="62"/>
    </row>
    <row r="34" spans="1:11" ht="12.75" customHeight="1">
      <c r="A34" s="176"/>
      <c r="B34" s="177"/>
      <c r="C34" s="260"/>
      <c r="D34" s="305"/>
      <c r="E34" s="381"/>
      <c r="F34" s="382"/>
      <c r="G34" s="382"/>
      <c r="H34" s="307"/>
      <c r="I34" s="378"/>
      <c r="J34" s="62"/>
      <c r="K34" s="62"/>
    </row>
    <row r="35" spans="1:11" ht="21.75" customHeight="1" thickBot="1">
      <c r="A35" s="292"/>
      <c r="B35" s="292"/>
      <c r="C35" s="292"/>
      <c r="D35" s="292"/>
      <c r="E35" s="293"/>
      <c r="F35" s="293"/>
      <c r="G35" s="293"/>
      <c r="H35" s="293"/>
      <c r="I35" s="293"/>
      <c r="J35" s="62"/>
      <c r="K35" s="62"/>
    </row>
    <row r="36" spans="1:11" ht="15.75" customHeight="1" thickTop="1">
      <c r="A36" s="387" t="str">
        <f>CONCATENATE(B134,", ",B135)</f>
        <v>Materiał izolacji termicznej, łączniki mechaniczne i materiały uzupełniające</v>
      </c>
      <c r="B36" s="388"/>
      <c r="C36" s="388"/>
      <c r="D36" s="388"/>
      <c r="E36" s="389"/>
      <c r="F36" s="74" t="str">
        <f>F14</f>
        <v>Zużycie</v>
      </c>
      <c r="G36" s="383" t="str">
        <f>G14</f>
        <v>Jedn.</v>
      </c>
      <c r="H36" s="385" t="str">
        <f>H14</f>
        <v>Cena netto [PLN]</v>
      </c>
      <c r="I36" s="386">
        <f>I14</f>
        <v>0</v>
      </c>
      <c r="J36" s="164" t="str">
        <f>B136</f>
        <v>Rabat</v>
      </c>
      <c r="K36" s="368" t="str">
        <f>H14</f>
        <v>Cena netto [PLN]</v>
      </c>
    </row>
    <row r="37" spans="1:11" ht="15.75" customHeight="1">
      <c r="A37" s="390"/>
      <c r="B37" s="391"/>
      <c r="C37" s="391"/>
      <c r="D37" s="391"/>
      <c r="E37" s="392"/>
      <c r="F37" s="80" t="str">
        <f>F15</f>
        <v>na 1m2</v>
      </c>
      <c r="G37" s="384"/>
      <c r="H37" s="138" t="str">
        <f>H15</f>
        <v>Jedn.</v>
      </c>
      <c r="I37" s="136" t="str">
        <f>I15</f>
        <v>1m2</v>
      </c>
      <c r="J37" s="165" t="s">
        <v>9</v>
      </c>
      <c r="K37" s="369"/>
    </row>
    <row r="38" spans="1:12" ht="12.75" customHeight="1">
      <c r="A38" s="247" t="str">
        <f>B137</f>
        <v>Izolacja termiczna</v>
      </c>
      <c r="B38" s="302"/>
      <c r="C38" s="318" t="str">
        <f>IF(D12&gt;0,CONCATENATE(B138," ",B139," ",TEXT(D12,"0")," ",B143),B138)</f>
        <v>Płyty styropianowe EPS 70-040 grubości 10 cm</v>
      </c>
      <c r="D38" s="319"/>
      <c r="E38" s="319"/>
      <c r="F38" s="93">
        <v>1</v>
      </c>
      <c r="G38" s="6" t="str">
        <f>B205</f>
        <v>m2</v>
      </c>
      <c r="H38" s="112">
        <f>K38*L38*M12*cena</f>
        <v>0</v>
      </c>
      <c r="I38" s="36">
        <f>H38*F38</f>
        <v>0</v>
      </c>
      <c r="J38" s="160"/>
      <c r="K38" s="162"/>
      <c r="L38" s="110">
        <f>(1-J38)</f>
        <v>1</v>
      </c>
    </row>
    <row r="39" spans="1:12" ht="12.75" customHeight="1">
      <c r="A39" s="309" t="str">
        <f>B140</f>
        <v>Łączniki mechaniczne</v>
      </c>
      <c r="B39" s="310"/>
      <c r="C39" s="300" t="str">
        <f>IF(D12&gt;0,CONCATENATE(B141," ",B142," ",TEXT(D12+VLOOKUP(F12,tabela_ściany,2,0)+VLOOKUP(F10,tabela_budynki,3,0),"0")," ",B143),B141)</f>
        <v>Łącznik z trzpieniem wbijanym długości min. 15 cm</v>
      </c>
      <c r="D39" s="301"/>
      <c r="E39" s="301"/>
      <c r="F39" s="146">
        <f>IF($F$10&gt;"",VLOOKUP(F10,tabela_budynki,2,0),0)</f>
        <v>4</v>
      </c>
      <c r="G39" s="35" t="str">
        <f>B202</f>
        <v>szt.</v>
      </c>
      <c r="H39" s="113">
        <f>K39*L39*cena</f>
        <v>0</v>
      </c>
      <c r="I39" s="37">
        <f>H39*F39</f>
        <v>0</v>
      </c>
      <c r="J39" s="161"/>
      <c r="K39" s="163"/>
      <c r="L39" s="111">
        <f>(1-J39)</f>
        <v>1</v>
      </c>
    </row>
    <row r="40" spans="1:12" ht="12.75" customHeight="1" hidden="1">
      <c r="A40" s="121"/>
      <c r="B40" s="122"/>
      <c r="C40" s="86"/>
      <c r="D40" s="87"/>
      <c r="E40" s="87"/>
      <c r="F40" s="88"/>
      <c r="G40" s="89"/>
      <c r="H40" s="112"/>
      <c r="I40" s="37"/>
      <c r="J40" s="116">
        <v>0</v>
      </c>
      <c r="K40" s="117">
        <v>0</v>
      </c>
      <c r="L40" s="111">
        <f>(1-J40)</f>
        <v>1</v>
      </c>
    </row>
    <row r="41" spans="1:11" ht="12.75" customHeight="1" thickBot="1">
      <c r="A41" s="311" t="str">
        <f>B144</f>
        <v>Materiały uzupełniające</v>
      </c>
      <c r="B41" s="312"/>
      <c r="C41" s="313" t="str">
        <f>B145</f>
        <v>Cena szacunkowa na 1 m2 powierzchni ocieplenia</v>
      </c>
      <c r="D41" s="314"/>
      <c r="E41" s="314"/>
      <c r="F41" s="81"/>
      <c r="G41" s="82"/>
      <c r="H41" s="38">
        <v>0</v>
      </c>
      <c r="I41" s="73">
        <f>H41</f>
        <v>0</v>
      </c>
      <c r="J41" s="114"/>
      <c r="K41" s="115"/>
    </row>
    <row r="42" spans="1:11" ht="6" customHeight="1" thickTop="1">
      <c r="A42" s="315"/>
      <c r="B42" s="316"/>
      <c r="C42" s="316"/>
      <c r="D42" s="316"/>
      <c r="E42" s="316"/>
      <c r="F42" s="316"/>
      <c r="G42" s="316"/>
      <c r="H42" s="316"/>
      <c r="I42" s="317"/>
      <c r="J42" s="62"/>
      <c r="K42" s="62"/>
    </row>
    <row r="43" spans="1:11" ht="13.5" customHeight="1">
      <c r="A43" s="298" t="str">
        <f>E27</f>
        <v>RAZEM:</v>
      </c>
      <c r="B43" s="299"/>
      <c r="C43" s="299"/>
      <c r="D43" s="299"/>
      <c r="E43" s="299"/>
      <c r="F43" s="181">
        <v>1</v>
      </c>
      <c r="G43" s="170" t="str">
        <f>B205</f>
        <v>m2</v>
      </c>
      <c r="H43" s="182" t="str">
        <f>B73</f>
        <v>[PLN]</v>
      </c>
      <c r="I43" s="180">
        <f>SUM(I38:I41)</f>
        <v>0</v>
      </c>
      <c r="J43" s="62"/>
      <c r="K43" s="62"/>
    </row>
    <row r="44" spans="1:11" ht="6" customHeight="1">
      <c r="A44" s="331"/>
      <c r="B44" s="332"/>
      <c r="C44" s="332"/>
      <c r="D44" s="332"/>
      <c r="E44" s="332"/>
      <c r="F44" s="332"/>
      <c r="G44" s="332"/>
      <c r="H44" s="332"/>
      <c r="I44" s="333"/>
      <c r="J44" s="62"/>
      <c r="K44" s="62"/>
    </row>
    <row r="45" spans="1:11" ht="12.75">
      <c r="A45" s="298" t="str">
        <f>E29</f>
        <v>RAZEM:</v>
      </c>
      <c r="B45" s="335"/>
      <c r="C45" s="335"/>
      <c r="D45" s="335"/>
      <c r="E45" s="335"/>
      <c r="F45" s="169">
        <f>$D$10</f>
        <v>1000</v>
      </c>
      <c r="G45" s="170" t="str">
        <f>B205</f>
        <v>m2</v>
      </c>
      <c r="H45" s="168" t="str">
        <f>B73</f>
        <v>[PLN]</v>
      </c>
      <c r="I45" s="178">
        <f>F45*I43</f>
        <v>0</v>
      </c>
      <c r="J45" s="62"/>
      <c r="K45" s="62"/>
    </row>
    <row r="46" spans="1:9" ht="21.75" customHeight="1">
      <c r="A46" s="334"/>
      <c r="B46" s="264"/>
      <c r="C46" s="264"/>
      <c r="D46" s="264"/>
      <c r="E46" s="264"/>
      <c r="F46" s="264"/>
      <c r="G46" s="264"/>
      <c r="H46" s="264"/>
      <c r="I46" s="264"/>
    </row>
    <row r="47" spans="1:9" ht="16.5" customHeight="1">
      <c r="A47" s="289" t="str">
        <f>B146</f>
        <v>ZESTAWIENIE ILOŚCIOWO-WARTOŚCIOWE MATERIAŁÓW</v>
      </c>
      <c r="B47" s="290"/>
      <c r="C47" s="290"/>
      <c r="D47" s="290"/>
      <c r="E47" s="290"/>
      <c r="F47" s="290"/>
      <c r="G47" s="290"/>
      <c r="H47" s="290"/>
      <c r="I47" s="291"/>
    </row>
    <row r="48" spans="1:9" ht="16.5" customHeight="1">
      <c r="A48" s="306" t="str">
        <f>B147</f>
        <v>ceny materiałów z rabatem, po przeliczeniu na pełne opakowania</v>
      </c>
      <c r="B48" s="307"/>
      <c r="C48" s="307"/>
      <c r="D48" s="307"/>
      <c r="E48" s="307"/>
      <c r="F48" s="307"/>
      <c r="G48" s="307"/>
      <c r="H48" s="307"/>
      <c r="I48" s="308"/>
    </row>
    <row r="49" spans="1:9" ht="9" customHeight="1">
      <c r="A49" s="336"/>
      <c r="B49" s="336"/>
      <c r="C49" s="336"/>
      <c r="D49" s="336"/>
      <c r="E49" s="336"/>
      <c r="F49" s="336"/>
      <c r="G49" s="336"/>
      <c r="H49" s="336"/>
      <c r="I49" s="336"/>
    </row>
    <row r="50" spans="1:9" s="69" customFormat="1" ht="16.5" customHeight="1">
      <c r="A50" s="286" t="str">
        <f>CONCATENATE(B148," ",TEXT(D10,0)," ",B149," - ",L4," ",B73)</f>
        <v>Materiały na 1000 m2 powierzchni docieplenia - ceny netto [PLN]</v>
      </c>
      <c r="B50" s="287"/>
      <c r="C50" s="287"/>
      <c r="D50" s="287"/>
      <c r="E50" s="287"/>
      <c r="F50" s="42" t="str">
        <f>G14</f>
        <v>Jedn.</v>
      </c>
      <c r="G50" s="42" t="str">
        <f>B153</f>
        <v>Ilość</v>
      </c>
      <c r="H50" s="42" t="str">
        <f>B154</f>
        <v>Cena</v>
      </c>
      <c r="I50" s="42" t="str">
        <f>B155</f>
        <v>Wartość</v>
      </c>
    </row>
    <row r="51" spans="1:9" s="70" customFormat="1" ht="12.75" customHeight="1">
      <c r="A51" s="320" t="str">
        <f>A16</f>
        <v>Klej do przyklejania płyt</v>
      </c>
      <c r="B51" s="321"/>
      <c r="C51" s="26" t="str">
        <f>C16</f>
        <v>AK 530 - Klej do styropianu</v>
      </c>
      <c r="D51" s="27"/>
      <c r="E51" s="27"/>
      <c r="F51" s="23" t="str">
        <f>CONCATENATE("25 ",B204)</f>
        <v>25 kg</v>
      </c>
      <c r="G51" s="83">
        <f>CEILING(F16*D$10,25)/25</f>
        <v>140</v>
      </c>
      <c r="H51" s="43">
        <f>CEILING(H16*(1-$F$31/100)*25-0.005,0.01)</f>
        <v>23</v>
      </c>
      <c r="I51" s="44">
        <f aca="true" t="shared" si="1" ref="I51:I58">G51*H51</f>
        <v>3220</v>
      </c>
    </row>
    <row r="52" spans="1:12" s="70" customFormat="1" ht="12.75" customHeight="1">
      <c r="A52" s="320" t="str">
        <f>A17</f>
        <v>Siatka zbrojąca</v>
      </c>
      <c r="B52" s="321"/>
      <c r="C52" s="26" t="str">
        <f>C17</f>
        <v>ALPOL 145 - siatka z włókna szklanego</v>
      </c>
      <c r="D52" s="27"/>
      <c r="E52" s="27"/>
      <c r="F52" s="23" t="str">
        <f>CONCATENATE(L52," ",B205)</f>
        <v>50 m2</v>
      </c>
      <c r="G52" s="83">
        <f>CEILING(F17*D$10,L52)/L52</f>
        <v>22</v>
      </c>
      <c r="H52" s="43">
        <f>CEILING(H17*(1-$F$31/100)*L52-0.005,0.01)</f>
        <v>105</v>
      </c>
      <c r="I52" s="24">
        <f t="shared" si="1"/>
        <v>2310</v>
      </c>
      <c r="L52" s="100">
        <f>VLOOKUP(C52,produkty,3,0)</f>
        <v>50</v>
      </c>
    </row>
    <row r="53" spans="1:9" s="70" customFormat="1" ht="12.75" customHeight="1">
      <c r="A53" s="320" t="str">
        <f>A18</f>
        <v>Klej do zatapiania siatki</v>
      </c>
      <c r="B53" s="321"/>
      <c r="C53" s="26" t="str">
        <f>C18</f>
        <v>AK 532 - Klej do ociepleń na styropianie</v>
      </c>
      <c r="D53" s="27"/>
      <c r="E53" s="27"/>
      <c r="F53" s="23" t="str">
        <f>CONCATENATE("25 ",B204)</f>
        <v>25 kg</v>
      </c>
      <c r="G53" s="83">
        <f>CEILING(F18*D$10,25)/25</f>
        <v>160</v>
      </c>
      <c r="H53" s="43">
        <f>CEILING(H18*(1-$F$31/100)*25-0.005,0.01)</f>
        <v>29.5</v>
      </c>
      <c r="I53" s="24">
        <f t="shared" si="1"/>
        <v>4720</v>
      </c>
    </row>
    <row r="54" spans="1:9" s="70" customFormat="1" ht="12.75" customHeight="1">
      <c r="A54" s="320" t="str">
        <f>A20</f>
        <v>Tynk dekoracyjny</v>
      </c>
      <c r="B54" s="321"/>
      <c r="C54" s="26" t="str">
        <f>C20</f>
        <v>AT 351 - Tynk akrylowy baranek 1,5 mm</v>
      </c>
      <c r="D54" s="27"/>
      <c r="E54" s="27"/>
      <c r="F54" s="23" t="str">
        <f>CONCATENATE("25 ",B204)</f>
        <v>25 kg</v>
      </c>
      <c r="G54" s="83">
        <f>CEILING(F20*D$10,25)/25</f>
        <v>92</v>
      </c>
      <c r="H54" s="43">
        <f>IF(H20&gt;0,CEILING((H20+H21)*(1-$F$31/100)*25-0.005,0.01),0)</f>
        <v>145.25</v>
      </c>
      <c r="I54" s="24">
        <f t="shared" si="1"/>
        <v>13363</v>
      </c>
    </row>
    <row r="55" spans="1:12" s="70" customFormat="1" ht="12.75" customHeight="1">
      <c r="A55" s="320" t="str">
        <f>A22</f>
        <v>Grunt podtynkowy</v>
      </c>
      <c r="B55" s="321"/>
      <c r="C55" s="28" t="str">
        <f>C22</f>
        <v>AG 705 - Grunt pod tynki akrylowe</v>
      </c>
      <c r="D55" s="27"/>
      <c r="E55" s="27"/>
      <c r="F55" s="23" t="str">
        <f>CONCATENATE(L55," ",B204)</f>
        <v>13 kg</v>
      </c>
      <c r="G55" s="83">
        <f>CEILING(F22*D$10,L55)/L55</f>
        <v>20</v>
      </c>
      <c r="H55" s="43">
        <f>IF(H22&gt;0,CEILING((H22+H23)*(1-$F$31/100)*L55-0.005,0.01),0)</f>
        <v>67.6</v>
      </c>
      <c r="I55" s="24">
        <f t="shared" si="1"/>
        <v>1352</v>
      </c>
      <c r="L55" s="100">
        <f>VLOOKUP($C22,produkty,3,0)</f>
        <v>13</v>
      </c>
    </row>
    <row r="56" spans="1:12" s="70" customFormat="1" ht="12.75" customHeight="1">
      <c r="A56" s="347" t="str">
        <f>A24</f>
        <v>Farba elewacyjna</v>
      </c>
      <c r="B56" s="348"/>
      <c r="C56" s="26" t="str">
        <f>C24</f>
        <v>AF 660 - Farba elewacyjna silikatowa x 2</v>
      </c>
      <c r="D56" s="27"/>
      <c r="E56" s="27"/>
      <c r="F56" s="76" t="s">
        <v>29</v>
      </c>
      <c r="G56" s="83">
        <f>CEILING(F24*D$10,10)/10</f>
        <v>0</v>
      </c>
      <c r="H56" s="77">
        <f>IF(L56&gt;0,CEILING(L56,0.01),0)</f>
        <v>0</v>
      </c>
      <c r="I56" s="44">
        <f t="shared" si="1"/>
        <v>0</v>
      </c>
      <c r="L56" s="100">
        <f>(H24+H25)*(1-$F$31/100)*10-0.005</f>
        <v>-0.005</v>
      </c>
    </row>
    <row r="57" spans="1:12" s="70" customFormat="1" ht="12.75" customHeight="1">
      <c r="A57" s="344" t="str">
        <f>A38</f>
        <v>Izolacja termiczna</v>
      </c>
      <c r="B57" s="345"/>
      <c r="C57" s="78" t="str">
        <f>C38</f>
        <v>Płyty styropianowe EPS 70-040 grubości 10 cm</v>
      </c>
      <c r="D57" s="40"/>
      <c r="E57" s="40"/>
      <c r="F57" s="41" t="str">
        <f>CONCATENATE("1 ",IF(L57&lt;10000,B205,B206))</f>
        <v>1 m2</v>
      </c>
      <c r="G57" s="84">
        <f>IF(L57&lt;10000,L57,CEILING(L57*D12/100,1))</f>
        <v>1000</v>
      </c>
      <c r="H57" s="29">
        <f>IF(L57&lt;10000,H38,IF(D12&gt;0,H38/D12*100,0))</f>
        <v>0</v>
      </c>
      <c r="I57" s="24">
        <f t="shared" si="1"/>
        <v>0</v>
      </c>
      <c r="L57" s="100">
        <f>CEILING(F38*$D$10,1)</f>
        <v>1000</v>
      </c>
    </row>
    <row r="58" spans="1:12" s="70" customFormat="1" ht="12.75" customHeight="1">
      <c r="A58" s="344" t="str">
        <f>A39</f>
        <v>Łączniki mechaniczne</v>
      </c>
      <c r="B58" s="345"/>
      <c r="C58" s="79" t="str">
        <f>C39</f>
        <v>Łącznik z trzpieniem wbijanym długości min. 15 cm</v>
      </c>
      <c r="D58" s="25"/>
      <c r="E58" s="25"/>
      <c r="F58" s="22" t="str">
        <f>IF(L58&lt;10000,CONCATENATE("1 ",B202),B203)</f>
        <v>1 szt.</v>
      </c>
      <c r="G58" s="84">
        <f>IF(L58&lt;10000,L58,CEILING(L58/1000,1))</f>
        <v>4000</v>
      </c>
      <c r="H58" s="30">
        <f>IF(L58&lt;10000,H39,H39*1000)</f>
        <v>0</v>
      </c>
      <c r="I58" s="24">
        <f t="shared" si="1"/>
        <v>0</v>
      </c>
      <c r="L58" s="100">
        <f>F39*$D$10</f>
        <v>4000</v>
      </c>
    </row>
    <row r="59" spans="1:9" s="70" customFormat="1" ht="12.75" customHeight="1" hidden="1">
      <c r="A59" s="344"/>
      <c r="B59" s="346"/>
      <c r="C59" s="92"/>
      <c r="D59" s="27"/>
      <c r="E59" s="27"/>
      <c r="F59" s="90"/>
      <c r="G59" s="91"/>
      <c r="H59" s="30"/>
      <c r="I59" s="44"/>
    </row>
    <row r="60" spans="1:9" s="70" customFormat="1" ht="12.75" customHeight="1">
      <c r="A60" s="322" t="str">
        <f>A41</f>
        <v>Materiały uzupełniające</v>
      </c>
      <c r="B60" s="323"/>
      <c r="C60" s="78" t="str">
        <f>CONCATENATE(B156," ",$D$10," ",B157)</f>
        <v>wartość szacunkowa na 1000 m2 pow. ocieplenia</v>
      </c>
      <c r="D60" s="75"/>
      <c r="E60" s="75"/>
      <c r="F60" s="328"/>
      <c r="G60" s="329"/>
      <c r="H60" s="330"/>
      <c r="I60" s="45">
        <f>I41*$D$10</f>
        <v>0</v>
      </c>
    </row>
    <row r="61" spans="1:9" ht="18.75" customHeight="1">
      <c r="A61" s="341" t="str">
        <f>IF(AND(I2=0,I3=0),CONCATENATE(B65," ",B66,"    Cennik: ",Ceny!M1),CONCATENATE("DYSTRYBUCJA:  ",C2,"  ",C3))</f>
        <v>Kalkulator systemu ociepleń - wersja 2010.05 PL    Cennik: PL 01.05.2010</v>
      </c>
      <c r="B61" s="342"/>
      <c r="C61" s="342"/>
      <c r="D61" s="342"/>
      <c r="E61" s="343"/>
      <c r="F61" s="284" t="str">
        <f>E29</f>
        <v>RAZEM:</v>
      </c>
      <c r="G61" s="285"/>
      <c r="H61" s="151" t="str">
        <f>B73</f>
        <v>[PLN]</v>
      </c>
      <c r="I61" s="179">
        <f>SUM(I51:I60)</f>
        <v>24965</v>
      </c>
    </row>
    <row r="64" spans="1:6" ht="12.75" hidden="1">
      <c r="A64" s="119">
        <v>1</v>
      </c>
      <c r="B64" s="119" t="s">
        <v>53</v>
      </c>
      <c r="C64" s="109"/>
      <c r="D64" s="109"/>
      <c r="E64" s="109"/>
      <c r="F64" s="109"/>
    </row>
    <row r="65" spans="1:6" ht="12.75" hidden="1">
      <c r="A65" s="119">
        <v>2</v>
      </c>
      <c r="B65" s="119" t="s">
        <v>54</v>
      </c>
      <c r="C65" s="109"/>
      <c r="D65" s="109"/>
      <c r="E65" s="109"/>
      <c r="F65" s="109"/>
    </row>
    <row r="66" spans="1:6" ht="12.75" hidden="1">
      <c r="A66" s="119">
        <v>3</v>
      </c>
      <c r="B66" s="412" t="s">
        <v>178</v>
      </c>
      <c r="C66" s="109"/>
      <c r="D66" s="109"/>
      <c r="E66" s="109"/>
      <c r="F66" s="109"/>
    </row>
    <row r="67" spans="1:6" ht="12.75" hidden="1">
      <c r="A67" s="119">
        <v>4</v>
      </c>
      <c r="B67" s="119" t="s">
        <v>179</v>
      </c>
      <c r="C67" s="109"/>
      <c r="D67" s="109"/>
      <c r="E67" s="109"/>
      <c r="F67" s="109"/>
    </row>
    <row r="68" spans="1:6" ht="12.75" hidden="1">
      <c r="A68" s="119">
        <v>5</v>
      </c>
      <c r="B68" s="119" t="s">
        <v>55</v>
      </c>
      <c r="C68" s="109"/>
      <c r="D68" s="109"/>
      <c r="E68" s="109"/>
      <c r="F68" s="109"/>
    </row>
    <row r="69" spans="1:6" ht="12.75" hidden="1">
      <c r="A69" s="119">
        <v>6</v>
      </c>
      <c r="B69" s="119" t="s">
        <v>44</v>
      </c>
      <c r="C69" s="109"/>
      <c r="D69" s="109"/>
      <c r="E69" s="109"/>
      <c r="F69" s="109"/>
    </row>
    <row r="70" spans="1:6" ht="12.75" hidden="1">
      <c r="A70" s="119">
        <v>7</v>
      </c>
      <c r="B70" s="119" t="s">
        <v>56</v>
      </c>
      <c r="C70" s="109"/>
      <c r="D70" s="109"/>
      <c r="E70" s="109"/>
      <c r="F70" s="109"/>
    </row>
    <row r="71" spans="1:6" ht="12.75" hidden="1">
      <c r="A71" s="119">
        <v>8</v>
      </c>
      <c r="B71" s="119" t="s">
        <v>57</v>
      </c>
      <c r="C71" s="109"/>
      <c r="D71" s="109"/>
      <c r="E71" s="109"/>
      <c r="F71" s="109"/>
    </row>
    <row r="72" spans="1:6" ht="12.75" hidden="1">
      <c r="A72" s="119">
        <v>9</v>
      </c>
      <c r="B72" s="119" t="s">
        <v>58</v>
      </c>
      <c r="C72" s="109"/>
      <c r="D72" s="109"/>
      <c r="E72" s="109"/>
      <c r="F72" s="109"/>
    </row>
    <row r="73" spans="1:6" ht="12.75" hidden="1">
      <c r="A73" s="119">
        <v>10</v>
      </c>
      <c r="B73" s="119" t="s">
        <v>59</v>
      </c>
      <c r="C73" s="109"/>
      <c r="D73" s="109"/>
      <c r="E73" s="109"/>
      <c r="F73" s="109"/>
    </row>
    <row r="74" spans="1:6" ht="12.75" hidden="1">
      <c r="A74" s="119">
        <v>11</v>
      </c>
      <c r="B74" s="119" t="s">
        <v>60</v>
      </c>
      <c r="C74" s="109"/>
      <c r="D74" s="109"/>
      <c r="E74" s="109"/>
      <c r="F74" s="109"/>
    </row>
    <row r="75" spans="1:6" ht="12.75" hidden="1">
      <c r="A75" s="119">
        <v>12</v>
      </c>
      <c r="B75" s="119" t="s">
        <v>61</v>
      </c>
      <c r="C75" s="109"/>
      <c r="D75" s="109"/>
      <c r="E75" s="109"/>
      <c r="F75" s="109"/>
    </row>
    <row r="76" spans="1:6" ht="12.75" hidden="1">
      <c r="A76" s="119">
        <v>13</v>
      </c>
      <c r="B76" s="119" t="s">
        <v>62</v>
      </c>
      <c r="C76" s="109"/>
      <c r="D76" s="109"/>
      <c r="E76" s="109"/>
      <c r="F76" s="109"/>
    </row>
    <row r="77" spans="1:6" ht="12.75" hidden="1">
      <c r="A77" s="119">
        <v>14</v>
      </c>
      <c r="B77" s="119" t="s">
        <v>63</v>
      </c>
      <c r="C77" s="109"/>
      <c r="D77" s="109"/>
      <c r="E77" s="109"/>
      <c r="F77" s="109"/>
    </row>
    <row r="78" spans="1:6" ht="12.75" hidden="1">
      <c r="A78" s="119">
        <v>15</v>
      </c>
      <c r="B78" s="119" t="s">
        <v>64</v>
      </c>
      <c r="C78" s="109"/>
      <c r="D78" s="109"/>
      <c r="E78" s="109"/>
      <c r="F78" s="109"/>
    </row>
    <row r="79" spans="1:6" ht="12.75" hidden="1">
      <c r="A79" s="119">
        <v>16</v>
      </c>
      <c r="B79" s="119" t="s">
        <v>65</v>
      </c>
      <c r="C79" s="109"/>
      <c r="D79" s="109"/>
      <c r="E79" s="109"/>
      <c r="F79" s="109"/>
    </row>
    <row r="80" spans="1:6" ht="12.75" hidden="1">
      <c r="A80" s="119">
        <v>17</v>
      </c>
      <c r="B80" s="119" t="s">
        <v>45</v>
      </c>
      <c r="C80" s="109"/>
      <c r="D80" s="109"/>
      <c r="E80" s="109"/>
      <c r="F80" s="109"/>
    </row>
    <row r="81" spans="1:6" ht="12.75" hidden="1">
      <c r="A81" s="119">
        <v>18</v>
      </c>
      <c r="B81" s="119" t="s">
        <v>66</v>
      </c>
      <c r="C81" s="109"/>
      <c r="D81" s="109"/>
      <c r="E81" s="109"/>
      <c r="F81" s="109"/>
    </row>
    <row r="82" spans="1:6" ht="12.75" hidden="1">
      <c r="A82" s="119">
        <v>19</v>
      </c>
      <c r="B82" s="119" t="s">
        <v>67</v>
      </c>
      <c r="C82" s="109"/>
      <c r="D82" s="109"/>
      <c r="E82" s="109"/>
      <c r="F82" s="109"/>
    </row>
    <row r="83" spans="1:6" ht="12.75" hidden="1">
      <c r="A83" s="119">
        <v>20</v>
      </c>
      <c r="B83" s="119" t="s">
        <v>68</v>
      </c>
      <c r="C83" s="109"/>
      <c r="D83" s="109"/>
      <c r="E83" s="109"/>
      <c r="F83" s="109"/>
    </row>
    <row r="84" spans="1:6" ht="12.75" hidden="1">
      <c r="A84" s="119">
        <v>21</v>
      </c>
      <c r="B84" s="119" t="s">
        <v>69</v>
      </c>
      <c r="C84" s="109"/>
      <c r="D84" s="109"/>
      <c r="E84" s="109"/>
      <c r="F84" s="109"/>
    </row>
    <row r="85" spans="1:6" ht="12.75" hidden="1">
      <c r="A85" s="119">
        <v>22</v>
      </c>
      <c r="B85" s="119" t="s">
        <v>70</v>
      </c>
      <c r="C85" s="109"/>
      <c r="D85" s="109"/>
      <c r="E85" s="109"/>
      <c r="F85" s="109"/>
    </row>
    <row r="86" spans="1:6" ht="12.75" hidden="1">
      <c r="A86" s="119">
        <v>23</v>
      </c>
      <c r="B86" s="119" t="s">
        <v>71</v>
      </c>
      <c r="C86" s="109"/>
      <c r="D86" s="109"/>
      <c r="E86" s="109"/>
      <c r="F86" s="109"/>
    </row>
    <row r="87" spans="1:6" ht="12.75" hidden="1">
      <c r="A87" s="119">
        <v>24</v>
      </c>
      <c r="B87" s="119" t="s">
        <v>72</v>
      </c>
      <c r="C87" s="109"/>
      <c r="D87" s="109"/>
      <c r="E87" s="109"/>
      <c r="F87" s="109"/>
    </row>
    <row r="88" spans="1:6" ht="12.75" hidden="1">
      <c r="A88" s="119">
        <v>25</v>
      </c>
      <c r="B88" s="119" t="s">
        <v>73</v>
      </c>
      <c r="C88" s="109"/>
      <c r="D88" s="109"/>
      <c r="E88" s="109"/>
      <c r="F88" s="109"/>
    </row>
    <row r="89" spans="1:6" ht="12.75" hidden="1">
      <c r="A89" s="119">
        <v>26</v>
      </c>
      <c r="B89" s="119" t="s">
        <v>74</v>
      </c>
      <c r="C89" s="109"/>
      <c r="D89" s="109"/>
      <c r="E89" s="109"/>
      <c r="F89" s="109"/>
    </row>
    <row r="90" spans="1:6" ht="12.75" hidden="1">
      <c r="A90" s="119">
        <v>27</v>
      </c>
      <c r="B90" s="119" t="s">
        <v>37</v>
      </c>
      <c r="C90" s="109"/>
      <c r="D90" s="109"/>
      <c r="E90" s="109"/>
      <c r="F90" s="109"/>
    </row>
    <row r="91" spans="1:6" ht="12.75" hidden="1">
      <c r="A91" s="119">
        <v>28</v>
      </c>
      <c r="B91" s="119" t="s">
        <v>75</v>
      </c>
      <c r="C91" s="109"/>
      <c r="D91" s="109"/>
      <c r="E91" s="109"/>
      <c r="F91" s="109"/>
    </row>
    <row r="92" spans="1:6" ht="12.75" hidden="1">
      <c r="A92" s="119">
        <v>29</v>
      </c>
      <c r="B92" s="119" t="s">
        <v>76</v>
      </c>
      <c r="C92" s="109"/>
      <c r="D92" s="109"/>
      <c r="E92" s="109"/>
      <c r="F92" s="109"/>
    </row>
    <row r="93" spans="1:6" ht="12.75" hidden="1">
      <c r="A93" s="119">
        <v>30</v>
      </c>
      <c r="B93" s="119" t="s">
        <v>77</v>
      </c>
      <c r="C93" s="109"/>
      <c r="D93" s="109"/>
      <c r="E93" s="109"/>
      <c r="F93" s="109"/>
    </row>
    <row r="94" spans="1:6" ht="12.75" hidden="1">
      <c r="A94" s="119">
        <v>31</v>
      </c>
      <c r="B94" s="119" t="s">
        <v>78</v>
      </c>
      <c r="C94" s="109"/>
      <c r="D94" s="109"/>
      <c r="E94" s="109"/>
      <c r="F94" s="109"/>
    </row>
    <row r="95" spans="1:6" ht="12.75" hidden="1">
      <c r="A95" s="119">
        <v>32</v>
      </c>
      <c r="B95" s="119" t="s">
        <v>79</v>
      </c>
      <c r="C95" s="109"/>
      <c r="D95" s="109"/>
      <c r="E95" s="109"/>
      <c r="F95" s="109"/>
    </row>
    <row r="96" spans="1:6" ht="12.75" hidden="1">
      <c r="A96" s="119">
        <v>33</v>
      </c>
      <c r="B96" s="119" t="s">
        <v>80</v>
      </c>
      <c r="C96" s="109"/>
      <c r="D96" s="109"/>
      <c r="E96" s="109"/>
      <c r="F96" s="109"/>
    </row>
    <row r="97" spans="1:6" ht="12.75" hidden="1">
      <c r="A97" s="119">
        <v>34</v>
      </c>
      <c r="B97" s="119" t="s">
        <v>81</v>
      </c>
      <c r="C97" s="109"/>
      <c r="D97" s="109"/>
      <c r="E97" s="109"/>
      <c r="F97" s="109"/>
    </row>
    <row r="98" spans="1:6" ht="12.75" hidden="1">
      <c r="A98" s="119">
        <v>35</v>
      </c>
      <c r="B98" s="119" t="s">
        <v>38</v>
      </c>
      <c r="C98" s="109"/>
      <c r="D98" s="109"/>
      <c r="E98" s="109"/>
      <c r="F98" s="109"/>
    </row>
    <row r="99" spans="1:6" ht="12.75" hidden="1">
      <c r="A99" s="119">
        <v>36</v>
      </c>
      <c r="B99" s="119" t="s">
        <v>82</v>
      </c>
      <c r="C99" s="109"/>
      <c r="D99" s="109"/>
      <c r="E99" s="109"/>
      <c r="F99" s="109"/>
    </row>
    <row r="100" spans="1:6" ht="12.75" hidden="1">
      <c r="A100" s="119">
        <v>37</v>
      </c>
      <c r="B100" s="119" t="s">
        <v>83</v>
      </c>
      <c r="C100" s="109"/>
      <c r="D100" s="109"/>
      <c r="E100" s="109"/>
      <c r="F100" s="109"/>
    </row>
    <row r="101" spans="1:6" ht="12.75" hidden="1">
      <c r="A101" s="119">
        <v>38</v>
      </c>
      <c r="B101" s="119" t="s">
        <v>84</v>
      </c>
      <c r="C101" s="109"/>
      <c r="D101" s="109"/>
      <c r="E101" s="109"/>
      <c r="F101" s="109"/>
    </row>
    <row r="102" spans="1:6" ht="12.75" hidden="1">
      <c r="A102" s="119">
        <v>39</v>
      </c>
      <c r="B102" s="119" t="s">
        <v>85</v>
      </c>
      <c r="C102" s="109"/>
      <c r="D102" s="109"/>
      <c r="E102" s="109"/>
      <c r="F102" s="109"/>
    </row>
    <row r="103" spans="1:6" ht="12.75" hidden="1">
      <c r="A103" s="119">
        <v>40</v>
      </c>
      <c r="B103" s="119" t="s">
        <v>86</v>
      </c>
      <c r="C103" s="109"/>
      <c r="D103" s="109"/>
      <c r="E103" s="109"/>
      <c r="F103" s="109"/>
    </row>
    <row r="104" spans="1:6" ht="12.75" hidden="1">
      <c r="A104" s="119">
        <v>41</v>
      </c>
      <c r="B104" s="119" t="s">
        <v>87</v>
      </c>
      <c r="C104" s="109"/>
      <c r="D104" s="109"/>
      <c r="E104" s="109"/>
      <c r="F104" s="109"/>
    </row>
    <row r="105" spans="1:6" ht="12.75" hidden="1">
      <c r="A105" s="119">
        <v>42</v>
      </c>
      <c r="B105" s="119" t="s">
        <v>88</v>
      </c>
      <c r="C105" s="109"/>
      <c r="D105" s="109"/>
      <c r="E105" s="109"/>
      <c r="F105" s="109"/>
    </row>
    <row r="106" spans="1:6" ht="12.75" hidden="1">
      <c r="A106" s="119">
        <v>43</v>
      </c>
      <c r="B106" s="119" t="s">
        <v>89</v>
      </c>
      <c r="C106" s="109"/>
      <c r="D106" s="109"/>
      <c r="E106" s="109"/>
      <c r="F106" s="109"/>
    </row>
    <row r="107" spans="1:6" ht="12.75" hidden="1">
      <c r="A107" s="119">
        <v>44</v>
      </c>
      <c r="B107" s="119" t="s">
        <v>90</v>
      </c>
      <c r="C107" s="109"/>
      <c r="D107" s="109"/>
      <c r="E107" s="109"/>
      <c r="F107" s="109"/>
    </row>
    <row r="108" spans="1:6" ht="12.75" hidden="1">
      <c r="A108" s="119">
        <v>45</v>
      </c>
      <c r="B108" s="119" t="s">
        <v>91</v>
      </c>
      <c r="C108" s="109"/>
      <c r="D108" s="109"/>
      <c r="E108" s="109"/>
      <c r="F108" s="109"/>
    </row>
    <row r="109" spans="1:6" ht="12.75" hidden="1">
      <c r="A109" s="119">
        <v>46</v>
      </c>
      <c r="B109" s="119" t="s">
        <v>92</v>
      </c>
      <c r="C109" s="109"/>
      <c r="D109" s="109"/>
      <c r="E109" s="109"/>
      <c r="F109" s="109"/>
    </row>
    <row r="110" spans="1:6" ht="12.75" hidden="1">
      <c r="A110" s="119">
        <v>47</v>
      </c>
      <c r="B110" s="119" t="s">
        <v>93</v>
      </c>
      <c r="C110" s="109"/>
      <c r="D110" s="109"/>
      <c r="E110" s="109"/>
      <c r="F110" s="109"/>
    </row>
    <row r="111" spans="1:6" ht="12.75" hidden="1">
      <c r="A111" s="119">
        <v>48</v>
      </c>
      <c r="B111" s="119" t="s">
        <v>94</v>
      </c>
      <c r="C111" s="109"/>
      <c r="D111" s="109"/>
      <c r="E111" s="109"/>
      <c r="F111" s="109"/>
    </row>
    <row r="112" spans="1:6" ht="12.75" hidden="1">
      <c r="A112" s="119">
        <v>49</v>
      </c>
      <c r="B112" s="119" t="s">
        <v>95</v>
      </c>
      <c r="C112" s="109"/>
      <c r="D112" s="109"/>
      <c r="E112" s="109"/>
      <c r="F112" s="109"/>
    </row>
    <row r="113" spans="1:6" ht="12.75" hidden="1">
      <c r="A113" s="119">
        <v>50</v>
      </c>
      <c r="B113" s="119" t="s">
        <v>96</v>
      </c>
      <c r="C113" s="109"/>
      <c r="D113" s="109"/>
      <c r="E113" s="109"/>
      <c r="F113" s="109"/>
    </row>
    <row r="114" spans="1:6" ht="12.75" hidden="1">
      <c r="A114" s="119">
        <v>51</v>
      </c>
      <c r="B114" s="119" t="s">
        <v>97</v>
      </c>
      <c r="C114" s="109"/>
      <c r="D114" s="109"/>
      <c r="E114" s="109"/>
      <c r="F114" s="109"/>
    </row>
    <row r="115" spans="1:6" ht="12.75" hidden="1">
      <c r="A115" s="119">
        <v>52</v>
      </c>
      <c r="B115" s="119" t="s">
        <v>98</v>
      </c>
      <c r="C115" s="109"/>
      <c r="D115" s="109"/>
      <c r="E115" s="109"/>
      <c r="F115" s="109"/>
    </row>
    <row r="116" spans="1:6" ht="12.75" hidden="1">
      <c r="A116" s="119">
        <v>53</v>
      </c>
      <c r="B116" s="119" t="s">
        <v>99</v>
      </c>
      <c r="C116" s="109"/>
      <c r="D116" s="109"/>
      <c r="E116" s="109"/>
      <c r="F116" s="109"/>
    </row>
    <row r="117" spans="1:6" ht="12.75" hidden="1">
      <c r="A117" s="119">
        <v>54</v>
      </c>
      <c r="B117" s="119" t="s">
        <v>100</v>
      </c>
      <c r="C117" s="109"/>
      <c r="D117" s="109"/>
      <c r="E117" s="109"/>
      <c r="F117" s="109"/>
    </row>
    <row r="118" spans="1:6" ht="12.75" hidden="1">
      <c r="A118" s="119">
        <v>55</v>
      </c>
      <c r="B118" s="119" t="s">
        <v>101</v>
      </c>
      <c r="C118" s="109"/>
      <c r="D118" s="109"/>
      <c r="E118" s="109"/>
      <c r="F118" s="109"/>
    </row>
    <row r="119" spans="1:6" ht="12.75" hidden="1">
      <c r="A119" s="119">
        <v>56</v>
      </c>
      <c r="B119" s="119" t="s">
        <v>102</v>
      </c>
      <c r="C119" s="109"/>
      <c r="D119" s="109"/>
      <c r="E119" s="109"/>
      <c r="F119" s="109"/>
    </row>
    <row r="120" spans="1:6" ht="12.75" hidden="1">
      <c r="A120" s="119">
        <v>57</v>
      </c>
      <c r="B120" s="119" t="s">
        <v>103</v>
      </c>
      <c r="C120" s="109"/>
      <c r="D120" s="109"/>
      <c r="E120" s="109"/>
      <c r="F120" s="109"/>
    </row>
    <row r="121" spans="1:6" ht="12.75" hidden="1">
      <c r="A121" s="119">
        <v>58</v>
      </c>
      <c r="B121" s="119" t="s">
        <v>42</v>
      </c>
      <c r="C121" s="109"/>
      <c r="D121" s="109"/>
      <c r="E121" s="109"/>
      <c r="F121" s="109"/>
    </row>
    <row r="122" spans="1:6" ht="12.75" hidden="1">
      <c r="A122" s="119">
        <v>59</v>
      </c>
      <c r="B122" s="119" t="s">
        <v>50</v>
      </c>
      <c r="C122" s="109"/>
      <c r="D122" s="109"/>
      <c r="E122" s="109"/>
      <c r="F122" s="109"/>
    </row>
    <row r="123" spans="1:6" ht="12.75" hidden="1">
      <c r="A123" s="119">
        <v>60</v>
      </c>
      <c r="B123" s="119" t="s">
        <v>104</v>
      </c>
      <c r="C123" s="109"/>
      <c r="D123" s="109"/>
      <c r="E123" s="109"/>
      <c r="F123" s="109"/>
    </row>
    <row r="124" spans="1:6" ht="12.75" hidden="1">
      <c r="A124" s="119">
        <v>61</v>
      </c>
      <c r="B124" s="119" t="s">
        <v>105</v>
      </c>
      <c r="C124" s="109"/>
      <c r="D124" s="109"/>
      <c r="E124" s="109"/>
      <c r="F124" s="109"/>
    </row>
    <row r="125" spans="1:6" ht="12.75" hidden="1">
      <c r="A125" s="119">
        <v>62</v>
      </c>
      <c r="B125" s="119" t="s">
        <v>43</v>
      </c>
      <c r="C125" s="109"/>
      <c r="D125" s="109"/>
      <c r="E125" s="109"/>
      <c r="F125" s="109"/>
    </row>
    <row r="126" spans="1:6" ht="12.75" hidden="1">
      <c r="A126" s="119">
        <v>63</v>
      </c>
      <c r="B126" s="119" t="s">
        <v>106</v>
      </c>
      <c r="C126" s="109"/>
      <c r="D126" s="109"/>
      <c r="E126" s="109"/>
      <c r="F126" s="109"/>
    </row>
    <row r="127" spans="1:6" ht="12.75" hidden="1">
      <c r="A127" s="119">
        <v>64</v>
      </c>
      <c r="B127" s="119" t="s">
        <v>107</v>
      </c>
      <c r="C127" s="109"/>
      <c r="D127" s="109"/>
      <c r="E127" s="109"/>
      <c r="F127" s="109"/>
    </row>
    <row r="128" spans="1:6" ht="12.75" hidden="1">
      <c r="A128" s="119">
        <v>65</v>
      </c>
      <c r="B128" s="119" t="s">
        <v>108</v>
      </c>
      <c r="C128" s="109"/>
      <c r="D128" s="109"/>
      <c r="E128" s="109"/>
      <c r="F128" s="109"/>
    </row>
    <row r="129" spans="1:6" ht="12.75" hidden="1">
      <c r="A129" s="119">
        <v>66</v>
      </c>
      <c r="B129" s="119" t="s">
        <v>105</v>
      </c>
      <c r="C129" s="109"/>
      <c r="D129" s="109"/>
      <c r="E129" s="109"/>
      <c r="F129" s="109"/>
    </row>
    <row r="130" spans="1:6" ht="12.75" hidden="1">
      <c r="A130" s="119">
        <v>67</v>
      </c>
      <c r="B130" s="119" t="s">
        <v>109</v>
      </c>
      <c r="C130" s="109"/>
      <c r="D130" s="109"/>
      <c r="E130" s="109"/>
      <c r="F130" s="109"/>
    </row>
    <row r="131" spans="1:6" ht="12.75" hidden="1">
      <c r="A131" s="119">
        <v>68</v>
      </c>
      <c r="B131" s="119" t="s">
        <v>110</v>
      </c>
      <c r="C131" s="109"/>
      <c r="D131" s="109"/>
      <c r="E131" s="109"/>
      <c r="F131" s="109"/>
    </row>
    <row r="132" spans="1:6" ht="12.75" hidden="1">
      <c r="A132" s="119">
        <v>69</v>
      </c>
      <c r="B132" s="119" t="s">
        <v>111</v>
      </c>
      <c r="C132" s="109"/>
      <c r="D132" s="109"/>
      <c r="E132" s="109"/>
      <c r="F132" s="109"/>
    </row>
    <row r="133" spans="1:6" ht="12.75" hidden="1">
      <c r="A133" s="119">
        <v>70</v>
      </c>
      <c r="B133" s="119" t="s">
        <v>112</v>
      </c>
      <c r="C133" s="109"/>
      <c r="D133" s="109"/>
      <c r="E133" s="109"/>
      <c r="F133" s="109"/>
    </row>
    <row r="134" spans="1:6" ht="12.75" hidden="1">
      <c r="A134" s="119">
        <v>71</v>
      </c>
      <c r="B134" s="119" t="s">
        <v>113</v>
      </c>
      <c r="C134" s="109"/>
      <c r="D134" s="109"/>
      <c r="E134" s="109"/>
      <c r="F134" s="109"/>
    </row>
    <row r="135" spans="1:6" ht="12.75" hidden="1">
      <c r="A135" s="119">
        <v>72</v>
      </c>
      <c r="B135" s="119" t="s">
        <v>114</v>
      </c>
      <c r="C135" s="109"/>
      <c r="D135" s="109"/>
      <c r="E135" s="109"/>
      <c r="F135" s="109"/>
    </row>
    <row r="136" spans="1:6" ht="12.75" hidden="1">
      <c r="A136" s="119">
        <v>73</v>
      </c>
      <c r="B136" s="119" t="s">
        <v>115</v>
      </c>
      <c r="C136" s="109"/>
      <c r="D136" s="109"/>
      <c r="E136" s="109"/>
      <c r="F136" s="109"/>
    </row>
    <row r="137" spans="1:6" ht="12.75" hidden="1">
      <c r="A137" s="119">
        <v>74</v>
      </c>
      <c r="B137" s="119" t="s">
        <v>116</v>
      </c>
      <c r="C137" s="109"/>
      <c r="D137" s="109"/>
      <c r="E137" s="109"/>
      <c r="F137" s="109"/>
    </row>
    <row r="138" spans="1:6" ht="12.75" hidden="1">
      <c r="A138" s="119">
        <v>75</v>
      </c>
      <c r="B138" s="119" t="s">
        <v>117</v>
      </c>
      <c r="C138" s="109"/>
      <c r="D138" s="109"/>
      <c r="E138" s="109"/>
      <c r="F138" s="109"/>
    </row>
    <row r="139" spans="1:6" ht="12.75" hidden="1">
      <c r="A139" s="119">
        <v>76</v>
      </c>
      <c r="B139" s="119" t="s">
        <v>19</v>
      </c>
      <c r="C139" s="109"/>
      <c r="D139" s="109"/>
      <c r="E139" s="109"/>
      <c r="F139" s="109"/>
    </row>
    <row r="140" spans="1:6" ht="12.75" hidden="1">
      <c r="A140" s="119">
        <v>77</v>
      </c>
      <c r="B140" s="119" t="s">
        <v>118</v>
      </c>
      <c r="C140" s="109"/>
      <c r="D140" s="109"/>
      <c r="E140" s="109"/>
      <c r="F140" s="109"/>
    </row>
    <row r="141" spans="1:6" ht="12.75" hidden="1">
      <c r="A141" s="119">
        <v>78</v>
      </c>
      <c r="B141" s="119" t="s">
        <v>119</v>
      </c>
      <c r="C141" s="109"/>
      <c r="D141" s="109"/>
      <c r="E141" s="109"/>
      <c r="F141" s="109"/>
    </row>
    <row r="142" spans="1:6" ht="12.75" hidden="1">
      <c r="A142" s="119">
        <v>79</v>
      </c>
      <c r="B142" s="119" t="s">
        <v>120</v>
      </c>
      <c r="C142" s="109"/>
      <c r="D142" s="109"/>
      <c r="E142" s="109"/>
      <c r="F142" s="109"/>
    </row>
    <row r="143" spans="1:6" ht="12.75" hidden="1">
      <c r="A143" s="119">
        <v>80</v>
      </c>
      <c r="B143" s="119" t="s">
        <v>121</v>
      </c>
      <c r="C143" s="109"/>
      <c r="D143" s="109"/>
      <c r="E143" s="109"/>
      <c r="F143" s="109"/>
    </row>
    <row r="144" spans="1:6" ht="12.75" hidden="1">
      <c r="A144" s="119">
        <v>81</v>
      </c>
      <c r="B144" s="119" t="s">
        <v>122</v>
      </c>
      <c r="C144" s="109"/>
      <c r="D144" s="109"/>
      <c r="E144" s="109"/>
      <c r="F144" s="109"/>
    </row>
    <row r="145" spans="1:6" ht="12.75" hidden="1">
      <c r="A145" s="119">
        <v>82</v>
      </c>
      <c r="B145" s="119" t="s">
        <v>123</v>
      </c>
      <c r="C145" s="109"/>
      <c r="D145" s="109"/>
      <c r="E145" s="109"/>
      <c r="F145" s="109"/>
    </row>
    <row r="146" spans="1:6" ht="12.75" hidden="1">
      <c r="A146" s="119">
        <v>83</v>
      </c>
      <c r="B146" s="119" t="s">
        <v>124</v>
      </c>
      <c r="C146" s="109"/>
      <c r="D146" s="109"/>
      <c r="E146" s="109"/>
      <c r="F146" s="109"/>
    </row>
    <row r="147" spans="1:6" ht="12.75" hidden="1">
      <c r="A147" s="119">
        <v>84</v>
      </c>
      <c r="B147" s="119" t="s">
        <v>125</v>
      </c>
      <c r="C147" s="109"/>
      <c r="D147" s="109"/>
      <c r="E147" s="109"/>
      <c r="F147" s="109"/>
    </row>
    <row r="148" spans="1:6" ht="12.75" hidden="1">
      <c r="A148" s="119">
        <v>85</v>
      </c>
      <c r="B148" s="119" t="s">
        <v>126</v>
      </c>
      <c r="C148" s="109"/>
      <c r="D148" s="109"/>
      <c r="E148" s="109"/>
      <c r="F148" s="109"/>
    </row>
    <row r="149" spans="1:6" ht="12.75" hidden="1">
      <c r="A149" s="119">
        <v>86</v>
      </c>
      <c r="B149" s="119" t="s">
        <v>127</v>
      </c>
      <c r="C149" s="109"/>
      <c r="D149" s="109"/>
      <c r="E149" s="109"/>
      <c r="F149" s="109"/>
    </row>
    <row r="150" spans="1:6" ht="12.75" hidden="1">
      <c r="A150" s="119">
        <v>87</v>
      </c>
      <c r="B150" s="119" t="s">
        <v>128</v>
      </c>
      <c r="C150" s="109"/>
      <c r="D150" s="109"/>
      <c r="E150" s="109"/>
      <c r="F150" s="109"/>
    </row>
    <row r="151" spans="1:6" ht="12.75" hidden="1">
      <c r="A151" s="119">
        <v>88</v>
      </c>
      <c r="B151" s="119" t="s">
        <v>129</v>
      </c>
      <c r="C151" s="109"/>
      <c r="D151" s="109"/>
      <c r="E151" s="109"/>
      <c r="F151" s="109"/>
    </row>
    <row r="152" spans="1:6" ht="12.75" hidden="1">
      <c r="A152" s="119">
        <v>89</v>
      </c>
      <c r="B152" s="119" t="s">
        <v>89</v>
      </c>
      <c r="C152" s="109"/>
      <c r="D152" s="109"/>
      <c r="E152" s="109"/>
      <c r="F152" s="109"/>
    </row>
    <row r="153" spans="1:6" ht="12.75" hidden="1">
      <c r="A153" s="119">
        <v>90</v>
      </c>
      <c r="B153" s="119" t="s">
        <v>130</v>
      </c>
      <c r="C153" s="109"/>
      <c r="D153" s="109"/>
      <c r="E153" s="109"/>
      <c r="F153" s="109"/>
    </row>
    <row r="154" spans="1:6" ht="12.75" hidden="1">
      <c r="A154" s="119">
        <v>91</v>
      </c>
      <c r="B154" s="119" t="s">
        <v>90</v>
      </c>
      <c r="C154" s="109"/>
      <c r="D154" s="109"/>
      <c r="E154" s="109"/>
      <c r="F154" s="109"/>
    </row>
    <row r="155" spans="1:6" ht="12.75" hidden="1">
      <c r="A155" s="119">
        <v>92</v>
      </c>
      <c r="B155" s="119" t="s">
        <v>131</v>
      </c>
      <c r="C155" s="109"/>
      <c r="D155" s="109"/>
      <c r="E155" s="109"/>
      <c r="F155" s="109"/>
    </row>
    <row r="156" spans="1:6" ht="12.75" hidden="1">
      <c r="A156" s="119">
        <v>93</v>
      </c>
      <c r="B156" s="119" t="s">
        <v>132</v>
      </c>
      <c r="C156" s="109"/>
      <c r="D156" s="109"/>
      <c r="E156" s="109"/>
      <c r="F156" s="109"/>
    </row>
    <row r="157" spans="1:6" ht="12.75" hidden="1">
      <c r="A157" s="119">
        <v>94</v>
      </c>
      <c r="B157" s="119" t="s">
        <v>133</v>
      </c>
      <c r="C157" s="109"/>
      <c r="D157" s="109"/>
      <c r="E157" s="109"/>
      <c r="F157" s="109"/>
    </row>
    <row r="158" spans="1:6" ht="12.75" hidden="1">
      <c r="A158" s="119">
        <v>95</v>
      </c>
      <c r="B158" s="119" t="s">
        <v>134</v>
      </c>
      <c r="C158" s="109"/>
      <c r="D158" s="109"/>
      <c r="E158" s="109"/>
      <c r="F158" s="109"/>
    </row>
    <row r="159" spans="1:6" ht="12.75" hidden="1">
      <c r="A159" s="119">
        <v>96</v>
      </c>
      <c r="B159" s="119" t="s">
        <v>135</v>
      </c>
      <c r="C159" s="109"/>
      <c r="D159" s="109"/>
      <c r="E159" s="109"/>
      <c r="F159" s="109"/>
    </row>
    <row r="160" spans="1:6" ht="12.75" hidden="1">
      <c r="A160" s="119">
        <v>97</v>
      </c>
      <c r="B160" s="119" t="s">
        <v>136</v>
      </c>
      <c r="C160" s="109"/>
      <c r="D160" s="109"/>
      <c r="E160" s="109"/>
      <c r="F160" s="109"/>
    </row>
    <row r="161" spans="1:6" ht="12.75" hidden="1">
      <c r="A161" s="119">
        <v>98</v>
      </c>
      <c r="B161" s="119" t="s">
        <v>137</v>
      </c>
      <c r="C161" s="109"/>
      <c r="D161" s="109"/>
      <c r="E161" s="109"/>
      <c r="F161" s="109"/>
    </row>
    <row r="162" spans="1:6" ht="12.75" hidden="1">
      <c r="A162" s="119">
        <v>99</v>
      </c>
      <c r="B162" s="119" t="s">
        <v>41</v>
      </c>
      <c r="C162" s="109"/>
      <c r="D162" s="109"/>
      <c r="E162" s="109"/>
      <c r="F162" s="109"/>
    </row>
    <row r="163" spans="1:6" ht="12.75" hidden="1">
      <c r="A163" s="119">
        <v>100</v>
      </c>
      <c r="B163" s="119" t="s">
        <v>138</v>
      </c>
      <c r="C163" s="109"/>
      <c r="D163" s="109"/>
      <c r="E163" s="109"/>
      <c r="F163" s="109"/>
    </row>
    <row r="164" spans="1:6" ht="12.75" hidden="1">
      <c r="A164" s="119">
        <v>101</v>
      </c>
      <c r="B164" s="119" t="s">
        <v>139</v>
      </c>
      <c r="C164" s="109"/>
      <c r="D164" s="109"/>
      <c r="E164" s="109"/>
      <c r="F164" s="109"/>
    </row>
    <row r="165" spans="1:6" ht="12.75" hidden="1">
      <c r="A165" s="119">
        <v>102</v>
      </c>
      <c r="B165" s="119" t="s">
        <v>140</v>
      </c>
      <c r="C165" s="109"/>
      <c r="D165" s="109"/>
      <c r="E165" s="109"/>
      <c r="F165" s="109"/>
    </row>
    <row r="166" spans="1:6" ht="12.75" hidden="1">
      <c r="A166" s="119">
        <v>103</v>
      </c>
      <c r="B166" s="119" t="s">
        <v>141</v>
      </c>
      <c r="C166" s="109"/>
      <c r="D166" s="109"/>
      <c r="E166" s="109"/>
      <c r="F166" s="109"/>
    </row>
    <row r="167" spans="1:6" ht="12.75" hidden="1">
      <c r="A167" s="119">
        <v>104</v>
      </c>
      <c r="B167" s="119" t="s">
        <v>51</v>
      </c>
      <c r="C167" s="109"/>
      <c r="D167" s="109"/>
      <c r="E167" s="109"/>
      <c r="F167" s="109"/>
    </row>
    <row r="168" spans="1:6" ht="12.75" hidden="1">
      <c r="A168" s="119">
        <v>105</v>
      </c>
      <c r="B168" s="119" t="s">
        <v>142</v>
      </c>
      <c r="C168" s="109"/>
      <c r="D168" s="109"/>
      <c r="E168" s="109"/>
      <c r="F168" s="109"/>
    </row>
    <row r="169" spans="1:6" ht="12.75" hidden="1">
      <c r="A169" s="119">
        <v>106</v>
      </c>
      <c r="B169" s="119" t="s">
        <v>40</v>
      </c>
      <c r="C169" s="109"/>
      <c r="D169" s="109"/>
      <c r="E169" s="109"/>
      <c r="F169" s="109"/>
    </row>
    <row r="170" spans="1:6" ht="12.75" hidden="1">
      <c r="A170" s="119">
        <v>107</v>
      </c>
      <c r="B170" s="119" t="s">
        <v>143</v>
      </c>
      <c r="C170" s="109"/>
      <c r="D170" s="109"/>
      <c r="E170" s="109"/>
      <c r="F170" s="109"/>
    </row>
    <row r="171" spans="1:6" ht="12.75" hidden="1">
      <c r="A171" s="119">
        <v>108</v>
      </c>
      <c r="B171" s="119" t="s">
        <v>144</v>
      </c>
      <c r="C171" s="109"/>
      <c r="D171" s="109"/>
      <c r="E171" s="109"/>
      <c r="F171" s="109"/>
    </row>
    <row r="172" spans="1:6" ht="12.75" hidden="1">
      <c r="A172" s="119">
        <v>109</v>
      </c>
      <c r="B172" s="119" t="s">
        <v>145</v>
      </c>
      <c r="C172" s="109"/>
      <c r="D172" s="109"/>
      <c r="E172" s="109"/>
      <c r="F172" s="109"/>
    </row>
    <row r="173" spans="1:6" ht="12.75" hidden="1">
      <c r="A173" s="119">
        <v>110</v>
      </c>
      <c r="B173" s="119" t="s">
        <v>146</v>
      </c>
      <c r="C173" s="109"/>
      <c r="D173" s="109"/>
      <c r="E173" s="109"/>
      <c r="F173" s="109"/>
    </row>
    <row r="174" spans="1:6" ht="12.75" hidden="1">
      <c r="A174" s="119">
        <v>111</v>
      </c>
      <c r="B174" s="119" t="s">
        <v>147</v>
      </c>
      <c r="C174" s="109"/>
      <c r="D174" s="109"/>
      <c r="E174" s="109"/>
      <c r="F174" s="109"/>
    </row>
    <row r="175" spans="1:6" ht="12.75" hidden="1">
      <c r="A175" s="119">
        <v>112</v>
      </c>
      <c r="B175" s="119" t="s">
        <v>148</v>
      </c>
      <c r="C175" s="109"/>
      <c r="D175" s="109"/>
      <c r="E175" s="109"/>
      <c r="F175" s="109"/>
    </row>
    <row r="176" spans="1:6" ht="12.75" hidden="1">
      <c r="A176" s="119">
        <v>113</v>
      </c>
      <c r="B176" s="119" t="s">
        <v>149</v>
      </c>
      <c r="C176" s="109"/>
      <c r="D176" s="109"/>
      <c r="E176" s="109"/>
      <c r="F176" s="109"/>
    </row>
    <row r="177" spans="1:6" ht="12.75" hidden="1">
      <c r="A177" s="119">
        <v>114</v>
      </c>
      <c r="B177" s="119" t="s">
        <v>150</v>
      </c>
      <c r="C177" s="109"/>
      <c r="D177" s="109"/>
      <c r="E177" s="109"/>
      <c r="F177" s="109"/>
    </row>
    <row r="178" spans="1:6" ht="12.75" hidden="1">
      <c r="A178" s="119">
        <v>115</v>
      </c>
      <c r="B178" s="119" t="s">
        <v>151</v>
      </c>
      <c r="C178" s="109"/>
      <c r="D178" s="109"/>
      <c r="E178" s="109"/>
      <c r="F178" s="109"/>
    </row>
    <row r="179" spans="1:6" ht="12.75" hidden="1">
      <c r="A179" s="119">
        <v>116</v>
      </c>
      <c r="B179" s="119" t="s">
        <v>152</v>
      </c>
      <c r="C179" s="109"/>
      <c r="D179" s="109"/>
      <c r="E179" s="109"/>
      <c r="F179" s="109"/>
    </row>
    <row r="180" spans="1:6" ht="12.75" hidden="1">
      <c r="A180" s="119">
        <v>117</v>
      </c>
      <c r="B180" s="119" t="s">
        <v>153</v>
      </c>
      <c r="C180" s="109"/>
      <c r="D180" s="109"/>
      <c r="E180" s="109"/>
      <c r="F180" s="109"/>
    </row>
    <row r="181" spans="1:6" ht="12.75" hidden="1">
      <c r="A181" s="119">
        <v>118</v>
      </c>
      <c r="B181" s="119" t="s">
        <v>154</v>
      </c>
      <c r="C181" s="109"/>
      <c r="D181" s="109"/>
      <c r="E181" s="109"/>
      <c r="F181" s="109"/>
    </row>
    <row r="182" spans="1:6" ht="12.75" hidden="1">
      <c r="A182" s="119">
        <v>119</v>
      </c>
      <c r="B182" s="119" t="s">
        <v>155</v>
      </c>
      <c r="C182" s="109"/>
      <c r="D182" s="109"/>
      <c r="E182" s="109"/>
      <c r="F182" s="109"/>
    </row>
    <row r="183" spans="1:6" ht="12.75" hidden="1">
      <c r="A183" s="119">
        <v>120</v>
      </c>
      <c r="B183" s="119" t="s">
        <v>156</v>
      </c>
      <c r="C183" s="109"/>
      <c r="D183" s="109"/>
      <c r="E183" s="109"/>
      <c r="F183" s="109"/>
    </row>
    <row r="184" spans="1:6" ht="12.75" hidden="1">
      <c r="A184" s="119">
        <v>121</v>
      </c>
      <c r="B184" s="119" t="s">
        <v>52</v>
      </c>
      <c r="C184" s="109"/>
      <c r="D184" s="109"/>
      <c r="E184" s="109"/>
      <c r="F184" s="109"/>
    </row>
    <row r="185" spans="1:6" ht="12.75" hidden="1">
      <c r="A185" s="119">
        <v>122</v>
      </c>
      <c r="B185" s="119" t="s">
        <v>157</v>
      </c>
      <c r="C185" s="109"/>
      <c r="D185" s="109"/>
      <c r="E185" s="109"/>
      <c r="F185" s="109"/>
    </row>
    <row r="186" spans="1:6" ht="12.75" hidden="1">
      <c r="A186" s="119">
        <v>123</v>
      </c>
      <c r="B186" s="119" t="s">
        <v>158</v>
      </c>
      <c r="C186" s="109"/>
      <c r="D186" s="109"/>
      <c r="E186" s="109"/>
      <c r="F186" s="109"/>
    </row>
    <row r="187" spans="1:6" ht="12.75" hidden="1">
      <c r="A187" s="119">
        <v>124</v>
      </c>
      <c r="B187" s="119" t="s">
        <v>159</v>
      </c>
      <c r="C187" s="109"/>
      <c r="D187" s="109"/>
      <c r="E187" s="109"/>
      <c r="F187" s="109"/>
    </row>
    <row r="188" spans="1:6" ht="12.75" hidden="1">
      <c r="A188" s="119">
        <v>125</v>
      </c>
      <c r="B188" s="119" t="s">
        <v>160</v>
      </c>
      <c r="C188" s="109"/>
      <c r="D188" s="109"/>
      <c r="E188" s="109"/>
      <c r="F188" s="109"/>
    </row>
    <row r="189" spans="1:6" ht="12.75" hidden="1">
      <c r="A189" s="119">
        <v>126</v>
      </c>
      <c r="B189" s="119" t="s">
        <v>161</v>
      </c>
      <c r="C189" s="109"/>
      <c r="D189" s="109"/>
      <c r="E189" s="109"/>
      <c r="F189" s="109"/>
    </row>
    <row r="190" spans="1:6" ht="12.75" hidden="1">
      <c r="A190" s="119">
        <v>127</v>
      </c>
      <c r="B190" s="119" t="s">
        <v>162</v>
      </c>
      <c r="C190" s="109"/>
      <c r="D190" s="109"/>
      <c r="E190" s="109"/>
      <c r="F190" s="109"/>
    </row>
    <row r="191" spans="1:6" ht="12.75" hidden="1">
      <c r="A191" s="119">
        <v>128</v>
      </c>
      <c r="B191" s="119" t="s">
        <v>163</v>
      </c>
      <c r="C191" s="109"/>
      <c r="D191" s="109"/>
      <c r="E191" s="109"/>
      <c r="F191" s="109"/>
    </row>
    <row r="192" spans="1:6" ht="12.75" hidden="1">
      <c r="A192" s="119">
        <v>129</v>
      </c>
      <c r="B192" s="119" t="s">
        <v>164</v>
      </c>
      <c r="C192" s="109"/>
      <c r="D192" s="109"/>
      <c r="E192" s="109"/>
      <c r="F192" s="109"/>
    </row>
    <row r="193" spans="1:6" ht="12.75" hidden="1">
      <c r="A193" s="119">
        <v>130</v>
      </c>
      <c r="B193" s="119" t="s">
        <v>165</v>
      </c>
      <c r="C193" s="109"/>
      <c r="D193" s="109"/>
      <c r="E193" s="109"/>
      <c r="F193" s="109"/>
    </row>
    <row r="194" spans="1:6" ht="12.75" hidden="1">
      <c r="A194" s="119">
        <v>131</v>
      </c>
      <c r="B194" s="119" t="s">
        <v>166</v>
      </c>
      <c r="C194" s="109"/>
      <c r="D194" s="109"/>
      <c r="E194" s="109"/>
      <c r="F194" s="109"/>
    </row>
    <row r="195" spans="1:6" ht="12.75" hidden="1">
      <c r="A195" s="119">
        <v>132</v>
      </c>
      <c r="B195" s="119" t="s">
        <v>167</v>
      </c>
      <c r="C195" s="109"/>
      <c r="D195" s="109"/>
      <c r="E195" s="109"/>
      <c r="F195" s="109"/>
    </row>
    <row r="196" spans="1:6" ht="12.75" hidden="1">
      <c r="A196" s="119">
        <v>133</v>
      </c>
      <c r="B196" s="119" t="s">
        <v>168</v>
      </c>
      <c r="C196" s="109"/>
      <c r="D196" s="109"/>
      <c r="E196" s="109"/>
      <c r="F196" s="109"/>
    </row>
    <row r="197" spans="1:6" ht="12.75" hidden="1">
      <c r="A197" s="119">
        <v>134</v>
      </c>
      <c r="B197" s="119" t="s">
        <v>169</v>
      </c>
      <c r="C197" s="109"/>
      <c r="D197" s="109"/>
      <c r="E197" s="109"/>
      <c r="F197" s="109"/>
    </row>
    <row r="198" spans="1:6" ht="12.75" hidden="1">
      <c r="A198" s="119">
        <v>135</v>
      </c>
      <c r="B198" s="119" t="s">
        <v>170</v>
      </c>
      <c r="C198" s="109"/>
      <c r="D198" s="109"/>
      <c r="E198" s="109"/>
      <c r="F198" s="109"/>
    </row>
    <row r="199" spans="1:6" ht="12.75" hidden="1">
      <c r="A199" s="119">
        <v>136</v>
      </c>
      <c r="B199" s="119" t="s">
        <v>39</v>
      </c>
      <c r="C199" s="109"/>
      <c r="D199" s="109"/>
      <c r="E199" s="109"/>
      <c r="F199" s="109"/>
    </row>
    <row r="200" spans="1:6" ht="12.75" hidden="1">
      <c r="A200" s="119">
        <v>137</v>
      </c>
      <c r="B200" s="119" t="s">
        <v>171</v>
      </c>
      <c r="C200" s="109"/>
      <c r="D200" s="109"/>
      <c r="E200" s="109"/>
      <c r="F200" s="109"/>
    </row>
    <row r="201" spans="1:6" ht="12.75" hidden="1">
      <c r="A201" s="119">
        <v>138</v>
      </c>
      <c r="B201" s="119" t="s">
        <v>172</v>
      </c>
      <c r="C201" s="109"/>
      <c r="D201" s="109"/>
      <c r="E201" s="109"/>
      <c r="F201" s="109"/>
    </row>
    <row r="202" spans="1:6" ht="12.75" hidden="1">
      <c r="A202" s="119">
        <v>139</v>
      </c>
      <c r="B202" s="119" t="s">
        <v>173</v>
      </c>
      <c r="C202" s="109"/>
      <c r="D202" s="109"/>
      <c r="E202" s="109"/>
      <c r="F202" s="109"/>
    </row>
    <row r="203" spans="1:6" ht="12.75" hidden="1">
      <c r="A203" s="119">
        <v>140</v>
      </c>
      <c r="B203" s="119" t="s">
        <v>174</v>
      </c>
      <c r="C203" s="109"/>
      <c r="D203" s="109"/>
      <c r="E203" s="109"/>
      <c r="F203" s="109"/>
    </row>
    <row r="204" spans="1:6" ht="12.75" hidden="1">
      <c r="A204" s="119">
        <v>141</v>
      </c>
      <c r="B204" s="119" t="s">
        <v>4</v>
      </c>
      <c r="C204" s="109"/>
      <c r="D204" s="109"/>
      <c r="E204" s="109"/>
      <c r="F204" s="109"/>
    </row>
    <row r="205" spans="1:6" ht="12.75" hidden="1">
      <c r="A205" s="119">
        <v>142</v>
      </c>
      <c r="B205" s="119" t="s">
        <v>3</v>
      </c>
      <c r="C205" s="109"/>
      <c r="D205" s="109"/>
      <c r="E205" s="109"/>
      <c r="F205" s="109"/>
    </row>
    <row r="206" spans="1:6" ht="12.75" hidden="1">
      <c r="A206" s="119">
        <v>143</v>
      </c>
      <c r="B206" s="119" t="s">
        <v>175</v>
      </c>
      <c r="C206" s="109"/>
      <c r="D206" s="109"/>
      <c r="E206" s="109"/>
      <c r="F206" s="109"/>
    </row>
    <row r="207" spans="1:6" ht="12.75" hidden="1">
      <c r="A207" s="119">
        <v>144</v>
      </c>
      <c r="B207" s="119" t="s">
        <v>5</v>
      </c>
      <c r="C207" s="109"/>
      <c r="D207" s="109"/>
      <c r="E207" s="109"/>
      <c r="F207" s="109"/>
    </row>
  </sheetData>
  <sheetProtection password="F71C" sheet="1" selectLockedCells="1"/>
  <protectedRanges>
    <protectedRange password="8158" sqref="C2:C3 I1:I3" name="Zakres1"/>
  </protectedRanges>
  <mergeCells count="87">
    <mergeCell ref="F19:I19"/>
    <mergeCell ref="A17:B17"/>
    <mergeCell ref="A19:E19"/>
    <mergeCell ref="C20:E20"/>
    <mergeCell ref="K13:K14"/>
    <mergeCell ref="K15:K18"/>
    <mergeCell ref="H14:I14"/>
    <mergeCell ref="C18:E18"/>
    <mergeCell ref="C16:E16"/>
    <mergeCell ref="A18:B18"/>
    <mergeCell ref="F12:I12"/>
    <mergeCell ref="K36:K37"/>
    <mergeCell ref="A14:E15"/>
    <mergeCell ref="H33:H34"/>
    <mergeCell ref="I33:I34"/>
    <mergeCell ref="E33:G34"/>
    <mergeCell ref="G14:G15"/>
    <mergeCell ref="H36:I36"/>
    <mergeCell ref="A36:E37"/>
    <mergeCell ref="G36:G37"/>
    <mergeCell ref="C17:E17"/>
    <mergeCell ref="A16:B16"/>
    <mergeCell ref="F1:H1"/>
    <mergeCell ref="A13:I13"/>
    <mergeCell ref="H5:I5"/>
    <mergeCell ref="B6:G6"/>
    <mergeCell ref="A12:C12"/>
    <mergeCell ref="C2:E2"/>
    <mergeCell ref="F2:H2"/>
    <mergeCell ref="F3:H3"/>
    <mergeCell ref="A1:E1"/>
    <mergeCell ref="A5:A6"/>
    <mergeCell ref="A61:E61"/>
    <mergeCell ref="A57:B57"/>
    <mergeCell ref="A58:B58"/>
    <mergeCell ref="A51:B51"/>
    <mergeCell ref="A59:B59"/>
    <mergeCell ref="A56:B56"/>
    <mergeCell ref="A53:B53"/>
    <mergeCell ref="A54:B54"/>
    <mergeCell ref="A55:B55"/>
    <mergeCell ref="A60:B60"/>
    <mergeCell ref="E32:I32"/>
    <mergeCell ref="E30:I30"/>
    <mergeCell ref="F60:H60"/>
    <mergeCell ref="A44:I44"/>
    <mergeCell ref="A46:I46"/>
    <mergeCell ref="A45:E45"/>
    <mergeCell ref="A52:B52"/>
    <mergeCell ref="A49:I49"/>
    <mergeCell ref="A38:B38"/>
    <mergeCell ref="D27:D34"/>
    <mergeCell ref="A48:I48"/>
    <mergeCell ref="A39:B39"/>
    <mergeCell ref="A41:B41"/>
    <mergeCell ref="C41:E41"/>
    <mergeCell ref="A42:I42"/>
    <mergeCell ref="C38:E38"/>
    <mergeCell ref="F61:G61"/>
    <mergeCell ref="A50:E50"/>
    <mergeCell ref="A23:B23"/>
    <mergeCell ref="A21:B21"/>
    <mergeCell ref="A47:I47"/>
    <mergeCell ref="A35:I35"/>
    <mergeCell ref="A22:B22"/>
    <mergeCell ref="C22:E22"/>
    <mergeCell ref="A43:E43"/>
    <mergeCell ref="C39:E39"/>
    <mergeCell ref="C3:E3"/>
    <mergeCell ref="A7:I7"/>
    <mergeCell ref="A8:I8"/>
    <mergeCell ref="F10:I10"/>
    <mergeCell ref="B5:G5"/>
    <mergeCell ref="A2:B3"/>
    <mergeCell ref="A9:I9"/>
    <mergeCell ref="A10:C10"/>
    <mergeCell ref="H6:I6"/>
    <mergeCell ref="C23:E23"/>
    <mergeCell ref="C24:E24"/>
    <mergeCell ref="A20:B20"/>
    <mergeCell ref="E28:I28"/>
    <mergeCell ref="C25:E25"/>
    <mergeCell ref="A26:I26"/>
    <mergeCell ref="A25:B25"/>
    <mergeCell ref="A24:B24"/>
    <mergeCell ref="C21:E21"/>
    <mergeCell ref="C27:C34"/>
  </mergeCells>
  <conditionalFormatting sqref="C25:E25">
    <cfRule type="expression" priority="1" dxfId="11" stopIfTrue="1">
      <formula>OR($C$20&gt;"AT 349",$C$24=$B$160,$C24=0)</formula>
    </cfRule>
  </conditionalFormatting>
  <conditionalFormatting sqref="F56">
    <cfRule type="expression" priority="2" dxfId="20" stopIfTrue="1">
      <formula>$F$24=0</formula>
    </cfRule>
  </conditionalFormatting>
  <conditionalFormatting sqref="A56:B56 A24:B24">
    <cfRule type="expression" priority="3" dxfId="9" stopIfTrue="1">
      <formula>$C$20&gt;"AT 349"</formula>
    </cfRule>
  </conditionalFormatting>
  <conditionalFormatting sqref="C56:E56 D60:E60">
    <cfRule type="expression" priority="4" dxfId="20" stopIfTrue="1">
      <formula>$C$20&gt;"AT 349"</formula>
    </cfRule>
  </conditionalFormatting>
  <conditionalFormatting sqref="A23:B23">
    <cfRule type="expression" priority="5" dxfId="9" stopIfTrue="1">
      <formula>$C$22&lt;"AG 705"</formula>
    </cfRule>
  </conditionalFormatting>
  <conditionalFormatting sqref="C24:E24">
    <cfRule type="expression" priority="6" dxfId="11" stopIfTrue="1">
      <formula>$C$20&gt;"AT 349"</formula>
    </cfRule>
  </conditionalFormatting>
  <conditionalFormatting sqref="A25:B25">
    <cfRule type="expression" priority="7" dxfId="9" stopIfTrue="1">
      <formula>OR($C$20&gt;"AT 349",$C$24="- bez farby")</formula>
    </cfRule>
  </conditionalFormatting>
  <conditionalFormatting sqref="C21:E21">
    <cfRule type="expression" priority="8" dxfId="11" stopIfTrue="1">
      <formula>OR($C$20&lt;"AT 350",$C$20&gt;"AT 390")</formula>
    </cfRule>
  </conditionalFormatting>
  <conditionalFormatting sqref="A21:B21">
    <cfRule type="expression" priority="9" dxfId="9" stopIfTrue="1">
      <formula>OR($C$20&lt;"AT 350",$C$20&gt;"AT 390")</formula>
    </cfRule>
  </conditionalFormatting>
  <conditionalFormatting sqref="G21">
    <cfRule type="expression" priority="10" dxfId="11" stopIfTrue="1">
      <formula>$F$21=0</formula>
    </cfRule>
  </conditionalFormatting>
  <conditionalFormatting sqref="G24">
    <cfRule type="expression" priority="11" dxfId="11" stopIfTrue="1">
      <formula>$F$24=0</formula>
    </cfRule>
  </conditionalFormatting>
  <conditionalFormatting sqref="G25">
    <cfRule type="expression" priority="12" dxfId="11" stopIfTrue="1">
      <formula>$F$25=0</formula>
    </cfRule>
  </conditionalFormatting>
  <conditionalFormatting sqref="C23:E23">
    <cfRule type="expression" priority="13" dxfId="11" stopIfTrue="1">
      <formula>$C$22&lt;"AG 705"</formula>
    </cfRule>
  </conditionalFormatting>
  <conditionalFormatting sqref="C60">
    <cfRule type="expression" priority="14" dxfId="10" stopIfTrue="1">
      <formula>$I$60=0</formula>
    </cfRule>
  </conditionalFormatting>
  <conditionalFormatting sqref="A60:B60">
    <cfRule type="expression" priority="15" dxfId="9" stopIfTrue="1">
      <formula>$I$60=0</formula>
    </cfRule>
  </conditionalFormatting>
  <conditionalFormatting sqref="H38">
    <cfRule type="expression" priority="16" dxfId="6" stopIfTrue="1">
      <formula>$F$38=0</formula>
    </cfRule>
  </conditionalFormatting>
  <conditionalFormatting sqref="H40">
    <cfRule type="expression" priority="17" dxfId="6" stopIfTrue="1">
      <formula>$F$40=0</formula>
    </cfRule>
  </conditionalFormatting>
  <conditionalFormatting sqref="H39">
    <cfRule type="expression" priority="18" dxfId="6" stopIfTrue="1">
      <formula>$F$39=0</formula>
    </cfRule>
  </conditionalFormatting>
  <conditionalFormatting sqref="K38">
    <cfRule type="expression" priority="19" dxfId="24" stopIfTrue="1">
      <formula>$D$12&lt;=0</formula>
    </cfRule>
  </conditionalFormatting>
  <conditionalFormatting sqref="M12">
    <cfRule type="expression" priority="20" dxfId="4" stopIfTrue="1">
      <formula>$I$1=$L$2</formula>
    </cfRule>
  </conditionalFormatting>
  <conditionalFormatting sqref="K13:K19">
    <cfRule type="expression" priority="21" dxfId="3" stopIfTrue="1">
      <formula>$M$19&gt;0</formula>
    </cfRule>
  </conditionalFormatting>
  <conditionalFormatting sqref="K24">
    <cfRule type="expression" priority="22" dxfId="25" stopIfTrue="1">
      <formula>$M$24=0</formula>
    </cfRule>
  </conditionalFormatting>
  <conditionalFormatting sqref="K22">
    <cfRule type="expression" priority="23" dxfId="25" stopIfTrue="1">
      <formula>$M$22=0</formula>
    </cfRule>
  </conditionalFormatting>
  <conditionalFormatting sqref="K20">
    <cfRule type="expression" priority="24" dxfId="25" stopIfTrue="1">
      <formula>$M$20=0</formula>
    </cfRule>
  </conditionalFormatting>
  <dataValidations count="26">
    <dataValidation type="list" showInputMessage="1" showErrorMessage="1" sqref="I1">
      <formula1>ceny</formula1>
    </dataValidation>
    <dataValidation type="list" allowBlank="1" showInputMessage="1" showErrorMessage="1" sqref="L14">
      <formula1>"1,2,3,4"</formula1>
    </dataValidation>
    <dataValidation type="decimal" allowBlank="1" showInputMessage="1" showErrorMessage="1" sqref="I2 J38">
      <formula1>0</formula1>
      <formula2>1</formula2>
    </dataValidation>
    <dataValidation type="decimal" allowBlank="1" showInputMessage="1" showErrorMessage="1" sqref="I3">
      <formula1>-1</formula1>
      <formula2>1</formula2>
    </dataValidation>
    <dataValidation errorStyle="warning" allowBlank="1" showInputMessage="1" showErrorMessage="1" sqref="C56"/>
    <dataValidation errorStyle="warning" type="list" allowBlank="1" showInputMessage="1" showErrorMessage="1" sqref="C24:E24">
      <formula1>farby</formula1>
    </dataValidation>
    <dataValidation errorStyle="warning" type="list" allowBlank="1" showInputMessage="1" showErrorMessage="1" error="Nie wprowadziłeś żadnej pozycji !" sqref="C20:E20">
      <formula1>tynki</formula1>
    </dataValidation>
    <dataValidation errorStyle="warning" type="list" allowBlank="1" showInputMessage="1" showErrorMessage="1" error="Nie wprowadziłeś żadnej pozycji !" sqref="C21:E21">
      <formula1>dopłaty_tf</formula1>
    </dataValidation>
    <dataValidation type="list" showInputMessage="1" showErrorMessage="1" sqref="C17">
      <formula1>siatki</formula1>
    </dataValidation>
    <dataValidation errorStyle="warning" type="list" showInputMessage="1" showErrorMessage="1" error="aa" sqref="C18:E18">
      <formula1>kleje_2</formula1>
    </dataValidation>
    <dataValidation type="list" allowBlank="1" showInputMessage="1" showErrorMessage="1" sqref="C25:E25">
      <formula1>dopłaty_tf</formula1>
    </dataValidation>
    <dataValidation type="list" allowBlank="1" showInputMessage="1" showErrorMessage="1" sqref="C23:E23">
      <formula1>dopłaty_g</formula1>
    </dataValidation>
    <dataValidation type="list" allowBlank="1" showInputMessage="1" showErrorMessage="1" sqref="C16">
      <formula1>kleje_1</formula1>
    </dataValidation>
    <dataValidation type="decimal" allowBlank="1" showInputMessage="1" showErrorMessage="1" sqref="F31 F41">
      <formula1>0</formula1>
      <formula2>100</formula2>
    </dataValidation>
    <dataValidation type="decimal" allowBlank="1" showInputMessage="1" showErrorMessage="1" sqref="H38:H40">
      <formula1>0</formula1>
      <formula2>99</formula2>
    </dataValidation>
    <dataValidation type="list" showInputMessage="1" showErrorMessage="1" sqref="F12">
      <formula1>ściany</formula1>
    </dataValidation>
    <dataValidation type="list" allowBlank="1" showInputMessage="1" sqref="H6:I6">
      <formula1>data</formula1>
    </dataValidation>
    <dataValidation type="list" showInputMessage="1" showErrorMessage="1" sqref="F10:I11">
      <formula1>budynki</formula1>
    </dataValidation>
    <dataValidation type="list" allowBlank="1" showInputMessage="1" showErrorMessage="1" sqref="D12">
      <formula1>izolacja</formula1>
    </dataValidation>
    <dataValidation type="whole" operator="greaterThanOrEqual" allowBlank="1" showInputMessage="1" showErrorMessage="1" sqref="D10:D11">
      <formula1>0</formula1>
    </dataValidation>
    <dataValidation type="list" allowBlank="1" showInputMessage="1" showErrorMessage="1" sqref="F17">
      <formula1>"1,10,1,15,1,20"</formula1>
    </dataValidation>
    <dataValidation type="decimal" allowBlank="1" showInputMessage="1" showErrorMessage="1" sqref="H41">
      <formula1>0</formula1>
      <formula2>10</formula2>
    </dataValidation>
    <dataValidation type="list" allowBlank="1" showInputMessage="1" showErrorMessage="1" sqref="F38">
      <formula1>"1,00,1,03,1,05"</formula1>
    </dataValidation>
    <dataValidation type="decimal" operator="greaterThanOrEqual" allowBlank="1" showInputMessage="1" showErrorMessage="1" sqref="J39:J41">
      <formula1>0</formula1>
    </dataValidation>
    <dataValidation type="list" allowBlank="1" showInputMessage="1" showErrorMessage="1" sqref="F18">
      <formula1>"3,5,4,0,4,5"</formula1>
    </dataValidation>
    <dataValidation type="list" allowBlank="1" showInputMessage="1" showErrorMessage="1" sqref="F16">
      <formula1>"3,0,3,5,4,0"</formula1>
    </dataValidation>
  </dataValidations>
  <printOptions/>
  <pageMargins left="0.5118110236220472" right="0.3937007874015748" top="0.5905511811023623" bottom="0.5905511811023623" header="0.5118110236220472" footer="0.31496062992125984"/>
  <pageSetup horizontalDpi="300" verticalDpi="300" orientation="portrait" paperSize="9" r:id="rId4"/>
  <ignoredErrors>
    <ignoredError sqref="I22:I24 I21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M90"/>
  <sheetViews>
    <sheetView zoomScalePageLayoutView="0" workbookViewId="0" topLeftCell="A1">
      <selection activeCell="M1" sqref="M1:M2"/>
    </sheetView>
  </sheetViews>
  <sheetFormatPr defaultColWidth="9.140625" defaultRowHeight="12.75"/>
  <cols>
    <col min="1" max="1" width="50.140625" style="0" customWidth="1"/>
    <col min="2" max="2" width="0" style="0" hidden="1" customWidth="1"/>
    <col min="3" max="3" width="9.140625" style="3" customWidth="1"/>
    <col min="4" max="4" width="6.8515625" style="3" customWidth="1"/>
    <col min="5" max="6" width="9.8515625" style="1" hidden="1" customWidth="1"/>
    <col min="7" max="7" width="9.140625" style="1" hidden="1" customWidth="1"/>
    <col min="8" max="8" width="33.00390625" style="0" hidden="1" customWidth="1"/>
    <col min="9" max="9" width="12.8515625" style="0" hidden="1" customWidth="1"/>
    <col min="10" max="10" width="9.57421875" style="0" customWidth="1"/>
    <col min="11" max="11" width="9.140625" style="0" hidden="1" customWidth="1"/>
    <col min="13" max="13" width="13.140625" style="0" customWidth="1"/>
    <col min="14" max="14" width="9.140625" style="0" customWidth="1"/>
  </cols>
  <sheetData>
    <row r="1" spans="1:13" ht="12.75">
      <c r="A1" s="406" t="s">
        <v>47</v>
      </c>
      <c r="B1" s="196" t="str">
        <f>Kalkulator!B107</f>
        <v>Cena</v>
      </c>
      <c r="C1" s="197" t="s">
        <v>48</v>
      </c>
      <c r="D1" s="198" t="str">
        <f>Kalkulator!B106</f>
        <v>Jedn.</v>
      </c>
      <c r="E1" s="204" t="s">
        <v>2</v>
      </c>
      <c r="F1" s="205" t="s">
        <v>2</v>
      </c>
      <c r="G1" s="205" t="s">
        <v>0</v>
      </c>
      <c r="H1" s="130"/>
      <c r="I1" s="225"/>
      <c r="J1" s="198" t="s">
        <v>33</v>
      </c>
      <c r="K1" s="198" t="s">
        <v>33</v>
      </c>
      <c r="L1" s="408" t="s">
        <v>176</v>
      </c>
      <c r="M1" s="410" t="s">
        <v>177</v>
      </c>
    </row>
    <row r="2" spans="1:13" ht="12.75">
      <c r="A2" s="407"/>
      <c r="B2" s="199" t="str">
        <f>Kalkulator!B73</f>
        <v>[PLN]</v>
      </c>
      <c r="C2" s="200" t="s">
        <v>49</v>
      </c>
      <c r="D2" s="201"/>
      <c r="E2" s="206" t="s">
        <v>1</v>
      </c>
      <c r="F2" s="207" t="s">
        <v>27</v>
      </c>
      <c r="G2" s="207" t="s">
        <v>1</v>
      </c>
      <c r="H2" s="130"/>
      <c r="I2" s="225"/>
      <c r="J2" s="226" t="s">
        <v>31</v>
      </c>
      <c r="K2" s="226" t="s">
        <v>32</v>
      </c>
      <c r="L2" s="409"/>
      <c r="M2" s="411"/>
    </row>
    <row r="3" spans="1:11" ht="12.75" hidden="1">
      <c r="A3" s="194" t="str">
        <f>Kalkulator!B160</f>
        <v>- bez farby</v>
      </c>
      <c r="B3" s="195">
        <v>0</v>
      </c>
      <c r="C3" s="229">
        <v>0</v>
      </c>
      <c r="D3" s="230"/>
      <c r="E3" s="231">
        <v>0</v>
      </c>
      <c r="F3" s="231">
        <f>E3*(1-Kalkulator!I$2)*(1+Kalkulator!I$3)</f>
        <v>0</v>
      </c>
      <c r="G3" s="231">
        <v>0</v>
      </c>
      <c r="H3" s="232"/>
      <c r="I3" s="233"/>
      <c r="J3" s="235"/>
      <c r="K3" s="234"/>
    </row>
    <row r="4" spans="1:11" ht="12.75">
      <c r="A4" s="184" t="str">
        <f>Kalkulator!B161</f>
        <v>AF 640 - Farba elewacyjna akrylowa x 2</v>
      </c>
      <c r="B4" s="185">
        <f>IF(Kalkulator!$L$14=1,J4,K4)</f>
        <v>140.6</v>
      </c>
      <c r="C4" s="227">
        <v>10</v>
      </c>
      <c r="D4" s="228" t="s">
        <v>5</v>
      </c>
      <c r="E4" s="208">
        <f aca="true" t="shared" si="0" ref="E4:E43">B4/C4</f>
        <v>14.059999999999999</v>
      </c>
      <c r="F4" s="195">
        <f>E4*(1-Kalkulator!I$2)*(1+Kalkulator!I$3)</f>
        <v>14.059999999999999</v>
      </c>
      <c r="G4" s="221">
        <v>0.25</v>
      </c>
      <c r="H4" s="130"/>
      <c r="I4" s="130"/>
      <c r="J4" s="224">
        <v>140.6</v>
      </c>
      <c r="K4" s="133">
        <v>29.25</v>
      </c>
    </row>
    <row r="5" spans="1:11" ht="12.75">
      <c r="A5" s="186" t="str">
        <f>Kalkulator!B162</f>
        <v>AF 660 - Farba elewacyjna silikatowa x 2</v>
      </c>
      <c r="B5" s="187">
        <f>IF(Kalkulator!$L$14=1,J5,K5)</f>
        <v>164.9</v>
      </c>
      <c r="C5" s="188">
        <v>10</v>
      </c>
      <c r="D5" s="242" t="s">
        <v>5</v>
      </c>
      <c r="E5" s="208">
        <f t="shared" si="0"/>
        <v>16.490000000000002</v>
      </c>
      <c r="F5" s="195">
        <f>E5*(1-Kalkulator!I$2)*(1+Kalkulator!I$3)</f>
        <v>16.490000000000002</v>
      </c>
      <c r="G5" s="221">
        <v>0.33</v>
      </c>
      <c r="H5" s="130"/>
      <c r="I5" s="130"/>
      <c r="J5" s="71">
        <v>164.9</v>
      </c>
      <c r="K5" s="71">
        <v>33.96</v>
      </c>
    </row>
    <row r="6" spans="1:11" ht="12.75">
      <c r="A6" s="186" t="str">
        <f>Kalkulator!B163</f>
        <v>AF 680 - Farba elewacyjna silikonowa x 2</v>
      </c>
      <c r="B6" s="187">
        <f>IF(Kalkulator!$L$14=1,J6,K6)</f>
        <v>207.5</v>
      </c>
      <c r="C6" s="188">
        <v>10</v>
      </c>
      <c r="D6" s="189" t="s">
        <v>5</v>
      </c>
      <c r="E6" s="208">
        <f t="shared" si="0"/>
        <v>20.75</v>
      </c>
      <c r="F6" s="195">
        <f>E6*(1-Kalkulator!I$2)*(1+Kalkulator!I$3)</f>
        <v>20.75</v>
      </c>
      <c r="G6" s="221">
        <v>0.33</v>
      </c>
      <c r="H6" s="130"/>
      <c r="I6" s="130"/>
      <c r="J6" s="71">
        <v>207.5</v>
      </c>
      <c r="K6" s="71">
        <v>42.75</v>
      </c>
    </row>
    <row r="7" spans="1:11" ht="12.75">
      <c r="A7" s="186" t="str">
        <f>Kalkulator!B164</f>
        <v>AG 701 - Grunt pod tynki mineralne</v>
      </c>
      <c r="B7" s="187">
        <f>IF(Kalkulator!$L$14=1,J7,K7)</f>
        <v>84</v>
      </c>
      <c r="C7" s="188">
        <v>15</v>
      </c>
      <c r="D7" s="189" t="s">
        <v>4</v>
      </c>
      <c r="E7" s="208">
        <f t="shared" si="0"/>
        <v>5.6</v>
      </c>
      <c r="F7" s="195">
        <f>E7*(1-Kalkulator!I$2)*(1+Kalkulator!I$3)</f>
        <v>5.6</v>
      </c>
      <c r="G7" s="221">
        <v>0.3</v>
      </c>
      <c r="H7" s="130"/>
      <c r="I7" s="130"/>
      <c r="J7" s="71">
        <v>84</v>
      </c>
      <c r="K7" s="71">
        <v>18</v>
      </c>
    </row>
    <row r="8" spans="1:11" ht="12.75" customHeight="1">
      <c r="A8" s="186" t="str">
        <f>Kalkulator!B165</f>
        <v>AG 705 - Grunt pod tynki akrylowe</v>
      </c>
      <c r="B8" s="187">
        <f>IF(Kalkulator!$L$14=1,J8,K8)</f>
        <v>67.6</v>
      </c>
      <c r="C8" s="188">
        <v>13</v>
      </c>
      <c r="D8" s="189" t="s">
        <v>4</v>
      </c>
      <c r="E8" s="208">
        <f t="shared" si="0"/>
        <v>5.199999999999999</v>
      </c>
      <c r="F8" s="195">
        <f>E8*(1-Kalkulator!I$2)*(1+Kalkulator!I$3)</f>
        <v>5.199999999999999</v>
      </c>
      <c r="G8" s="221">
        <v>0.25</v>
      </c>
      <c r="H8" s="130"/>
      <c r="I8" s="130"/>
      <c r="J8" s="71">
        <v>67.6</v>
      </c>
      <c r="K8" s="71">
        <v>14.49</v>
      </c>
    </row>
    <row r="9" spans="1:11" ht="12.75">
      <c r="A9" s="186" t="str">
        <f>Kalkulator!B166</f>
        <v>AG 706 - Grunt pod tynki krzemianowe</v>
      </c>
      <c r="B9" s="187">
        <f>IF(Kalkulator!$L$14=1,J9,K9)</f>
        <v>79.3</v>
      </c>
      <c r="C9" s="188">
        <v>13</v>
      </c>
      <c r="D9" s="189" t="s">
        <v>4</v>
      </c>
      <c r="E9" s="208">
        <f t="shared" si="0"/>
        <v>6.1</v>
      </c>
      <c r="F9" s="195">
        <f>E9*(1-Kalkulator!I$2)*(1+Kalkulator!I$3)</f>
        <v>6.1</v>
      </c>
      <c r="G9" s="221">
        <v>0.25</v>
      </c>
      <c r="H9" s="130"/>
      <c r="I9" s="130"/>
      <c r="J9" s="71">
        <v>79.3</v>
      </c>
      <c r="K9" s="71">
        <v>16.99</v>
      </c>
    </row>
    <row r="10" spans="1:11" ht="12.75">
      <c r="A10" s="186" t="str">
        <f>Kalkulator!B167</f>
        <v>AK 530 - Klej do styropianu</v>
      </c>
      <c r="B10" s="187">
        <f>IF(Kalkulator!$L$14=1,J10,K10)</f>
        <v>23</v>
      </c>
      <c r="C10" s="188">
        <v>25</v>
      </c>
      <c r="D10" s="189" t="s">
        <v>4</v>
      </c>
      <c r="E10" s="208">
        <f t="shared" si="0"/>
        <v>0.92</v>
      </c>
      <c r="F10" s="195">
        <f>E10*(1-Kalkulator!I$2)*(1+Kalkulator!I$3)</f>
        <v>0.92</v>
      </c>
      <c r="G10" s="221">
        <v>3.5</v>
      </c>
      <c r="H10" s="130"/>
      <c r="I10" s="131" t="s">
        <v>21</v>
      </c>
      <c r="J10" s="71">
        <v>23</v>
      </c>
      <c r="K10" s="71">
        <v>4.93</v>
      </c>
    </row>
    <row r="11" spans="1:11" ht="12.75">
      <c r="A11" s="186" t="str">
        <f>Kalkulator!B168</f>
        <v>AK 531- Klej do ociepleń biały</v>
      </c>
      <c r="B11" s="187">
        <f>IF(Kalkulator!$L$14=1,J11,K11)</f>
        <v>36</v>
      </c>
      <c r="C11" s="188">
        <v>25</v>
      </c>
      <c r="D11" s="189" t="s">
        <v>4</v>
      </c>
      <c r="E11" s="208">
        <f t="shared" si="0"/>
        <v>1.44</v>
      </c>
      <c r="F11" s="195">
        <f>E11*(1-Kalkulator!I$2)*(1+Kalkulator!I$3)</f>
        <v>1.44</v>
      </c>
      <c r="G11" s="221">
        <v>3.5</v>
      </c>
      <c r="H11" s="130"/>
      <c r="I11" s="129" t="s">
        <v>22</v>
      </c>
      <c r="J11" s="71">
        <v>36</v>
      </c>
      <c r="K11" s="71">
        <v>7.71</v>
      </c>
    </row>
    <row r="12" spans="1:11" ht="12.75">
      <c r="A12" s="186" t="str">
        <f>Kalkulator!B169</f>
        <v>AK 532 - Klej do ociepleń na styropianie</v>
      </c>
      <c r="B12" s="187">
        <f>IF(Kalkulator!$L$14=1,J12,K12)</f>
        <v>29.5</v>
      </c>
      <c r="C12" s="188">
        <v>25</v>
      </c>
      <c r="D12" s="189" t="s">
        <v>4</v>
      </c>
      <c r="E12" s="208">
        <f t="shared" si="0"/>
        <v>1.18</v>
      </c>
      <c r="F12" s="195">
        <f>E12*(1-Kalkulator!I$2)*(1+Kalkulator!I$3)</f>
        <v>1.18</v>
      </c>
      <c r="G12" s="221">
        <v>3.5</v>
      </c>
      <c r="H12" s="129" t="s">
        <v>26</v>
      </c>
      <c r="I12" s="129" t="s">
        <v>23</v>
      </c>
      <c r="J12" s="71">
        <v>29.5</v>
      </c>
      <c r="K12" s="71">
        <v>6.32</v>
      </c>
    </row>
    <row r="13" spans="1:11" ht="12.75">
      <c r="A13" s="186" t="str">
        <f>Kalkulator!B170</f>
        <v>AK 534 - Klej do ociepleń zimowy</v>
      </c>
      <c r="B13" s="187">
        <f>IF(Kalkulator!$L$14=1,J13,K13)</f>
        <v>39</v>
      </c>
      <c r="C13" s="188">
        <v>25</v>
      </c>
      <c r="D13" s="189" t="s">
        <v>4</v>
      </c>
      <c r="E13" s="208">
        <f t="shared" si="0"/>
        <v>1.56</v>
      </c>
      <c r="F13" s="195">
        <f>E13*(1-Kalkulator!I$2)*(1+Kalkulator!I$3)</f>
        <v>1.56</v>
      </c>
      <c r="G13" s="221">
        <v>3.5</v>
      </c>
      <c r="H13" s="130"/>
      <c r="I13" s="129" t="s">
        <v>24</v>
      </c>
      <c r="J13" s="71">
        <v>39</v>
      </c>
      <c r="K13" s="71">
        <v>8.36</v>
      </c>
    </row>
    <row r="14" spans="1:11" ht="12.75">
      <c r="A14" s="186" t="str">
        <f>Kalkulator!B171</f>
        <v>AH 741 - Klej bitumiczny</v>
      </c>
      <c r="B14" s="187">
        <f>IF(Kalkulator!$L$14=1,J14,K14)</f>
        <v>152.6</v>
      </c>
      <c r="C14" s="188">
        <v>20</v>
      </c>
      <c r="D14" s="189" t="s">
        <v>4</v>
      </c>
      <c r="E14" s="208">
        <f t="shared" si="0"/>
        <v>7.63</v>
      </c>
      <c r="F14" s="195">
        <f>E14*(1-Kalkulator!I$2)*(1+Kalkulator!I$3)</f>
        <v>7.63</v>
      </c>
      <c r="G14" s="221">
        <v>3.5</v>
      </c>
      <c r="H14" s="132"/>
      <c r="I14" s="108" t="s">
        <v>25</v>
      </c>
      <c r="J14" s="71">
        <v>152.6</v>
      </c>
      <c r="K14" s="71">
        <v>32.7</v>
      </c>
    </row>
    <row r="15" spans="1:11" ht="12.75">
      <c r="A15" s="186" t="str">
        <f>Kalkulator!B172</f>
        <v>AT 320 - Tynk mineralny biały baranek 1,5 mm</v>
      </c>
      <c r="B15" s="187">
        <f>IF(Kalkulator!$L$14=1,J15,K15)</f>
        <v>45.75</v>
      </c>
      <c r="C15" s="188">
        <v>25</v>
      </c>
      <c r="D15" s="189" t="s">
        <v>4</v>
      </c>
      <c r="E15" s="208">
        <f t="shared" si="0"/>
        <v>1.83</v>
      </c>
      <c r="F15" s="195">
        <f>E15*(1-Kalkulator!I$2)*(1+Kalkulator!I$3)</f>
        <v>1.83</v>
      </c>
      <c r="G15" s="221">
        <v>2.3</v>
      </c>
      <c r="H15" s="46" t="str">
        <f>$A$7</f>
        <v>AG 701 - Grunt pod tynki mineralne</v>
      </c>
      <c r="I15" s="46">
        <v>0.95</v>
      </c>
      <c r="J15" s="71">
        <v>45.75</v>
      </c>
      <c r="K15" s="71">
        <v>9.27</v>
      </c>
    </row>
    <row r="16" spans="1:13" ht="12.75">
      <c r="A16" s="186" t="str">
        <f>Kalkulator!B173</f>
        <v>AT 321 - Tynk mineralny biały kornik 2 mm</v>
      </c>
      <c r="B16" s="187">
        <f>IF(Kalkulator!$L$14=1,J16,K16)</f>
        <v>45.75</v>
      </c>
      <c r="C16" s="188">
        <v>25</v>
      </c>
      <c r="D16" s="189" t="s">
        <v>4</v>
      </c>
      <c r="E16" s="208">
        <f t="shared" si="0"/>
        <v>1.83</v>
      </c>
      <c r="F16" s="195">
        <f>E16*(1-Kalkulator!I$2)*(1+Kalkulator!I$3)</f>
        <v>1.83</v>
      </c>
      <c r="G16" s="221">
        <v>3</v>
      </c>
      <c r="H16" s="46" t="str">
        <f aca="true" t="shared" si="1" ref="H16:H25">$A$7</f>
        <v>AG 701 - Grunt pod tynki mineralne</v>
      </c>
      <c r="I16" s="46">
        <v>1</v>
      </c>
      <c r="J16" s="71">
        <v>45.75</v>
      </c>
      <c r="K16" s="71">
        <v>9.27</v>
      </c>
      <c r="L16" s="166"/>
      <c r="M16" s="167"/>
    </row>
    <row r="17" spans="1:11" ht="12.75">
      <c r="A17" s="186" t="str">
        <f>Kalkulator!B174</f>
        <v>AT 322 - Tynk mineralny biały kornik 3 mm</v>
      </c>
      <c r="B17" s="187">
        <f>IF(Kalkulator!$L$14=1,J17,K17)</f>
        <v>45.75</v>
      </c>
      <c r="C17" s="188">
        <v>25</v>
      </c>
      <c r="D17" s="189" t="s">
        <v>4</v>
      </c>
      <c r="E17" s="208">
        <f t="shared" si="0"/>
        <v>1.83</v>
      </c>
      <c r="F17" s="195">
        <f>E17*(1-Kalkulator!I$2)*(1+Kalkulator!I$3)</f>
        <v>1.83</v>
      </c>
      <c r="G17" s="221">
        <v>4</v>
      </c>
      <c r="H17" s="46" t="str">
        <f t="shared" si="1"/>
        <v>AG 701 - Grunt pod tynki mineralne</v>
      </c>
      <c r="I17" s="46">
        <v>1.1</v>
      </c>
      <c r="J17" s="71">
        <v>45.75</v>
      </c>
      <c r="K17" s="71">
        <v>9.27</v>
      </c>
    </row>
    <row r="18" spans="1:11" ht="12.75">
      <c r="A18" s="186" t="str">
        <f>Kalkulator!B175</f>
        <v>AT 325 - Tynk mineralny extra, biały baranek 1,5 mm</v>
      </c>
      <c r="B18" s="187">
        <f>IF(Kalkulator!$L$14=1,J18,K18)</f>
        <v>51.5</v>
      </c>
      <c r="C18" s="188">
        <v>25</v>
      </c>
      <c r="D18" s="189" t="s">
        <v>4</v>
      </c>
      <c r="E18" s="208">
        <f t="shared" si="0"/>
        <v>2.06</v>
      </c>
      <c r="F18" s="195">
        <f>E18*(1-Kalkulator!I$2)*(1+Kalkulator!I$3)</f>
        <v>2.06</v>
      </c>
      <c r="G18" s="221">
        <v>2.3</v>
      </c>
      <c r="H18" s="46" t="str">
        <f t="shared" si="1"/>
        <v>AG 701 - Grunt pod tynki mineralne</v>
      </c>
      <c r="I18" s="46">
        <v>0.95</v>
      </c>
      <c r="J18" s="71">
        <v>51.5</v>
      </c>
      <c r="K18" s="71">
        <v>10.39</v>
      </c>
    </row>
    <row r="19" spans="1:11" ht="12.75">
      <c r="A19" s="186" t="str">
        <f>Kalkulator!B176</f>
        <v>AT 326 - Tynk mineralny extra, biały baranek 2 mm</v>
      </c>
      <c r="B19" s="187">
        <f>IF(Kalkulator!$L$14=1,J19,K19)</f>
        <v>51.5</v>
      </c>
      <c r="C19" s="188">
        <v>25</v>
      </c>
      <c r="D19" s="189" t="s">
        <v>4</v>
      </c>
      <c r="E19" s="208">
        <f t="shared" si="0"/>
        <v>2.06</v>
      </c>
      <c r="F19" s="195">
        <f>E19*(1-Kalkulator!I$2)*(1+Kalkulator!I$3)</f>
        <v>2.06</v>
      </c>
      <c r="G19" s="221">
        <v>3</v>
      </c>
      <c r="H19" s="46" t="str">
        <f t="shared" si="1"/>
        <v>AG 701 - Grunt pod tynki mineralne</v>
      </c>
      <c r="I19" s="46">
        <v>1</v>
      </c>
      <c r="J19" s="71">
        <v>51.5</v>
      </c>
      <c r="K19" s="71">
        <v>10.39</v>
      </c>
    </row>
    <row r="20" spans="1:11" ht="12.75">
      <c r="A20" s="186" t="str">
        <f>Kalkulator!B177</f>
        <v>AT 327 - Tynk mineralny extra, biały baranek 2,5 mm</v>
      </c>
      <c r="B20" s="187">
        <f>IF(Kalkulator!$L$14=1,J20,K20)</f>
        <v>51.5</v>
      </c>
      <c r="C20" s="188">
        <v>25</v>
      </c>
      <c r="D20" s="189" t="s">
        <v>4</v>
      </c>
      <c r="E20" s="208">
        <f t="shared" si="0"/>
        <v>2.06</v>
      </c>
      <c r="F20" s="195">
        <f>E20*(1-Kalkulator!I$2)*(1+Kalkulator!I$3)</f>
        <v>2.06</v>
      </c>
      <c r="G20" s="221">
        <v>3.5</v>
      </c>
      <c r="H20" s="46" t="str">
        <f t="shared" si="1"/>
        <v>AG 701 - Grunt pod tynki mineralne</v>
      </c>
      <c r="I20" s="46">
        <v>1.05</v>
      </c>
      <c r="J20" s="71">
        <v>51.5</v>
      </c>
      <c r="K20" s="71">
        <v>10.39</v>
      </c>
    </row>
    <row r="21" spans="1:11" ht="12.75">
      <c r="A21" s="186" t="str">
        <f>Kalkulator!B178</f>
        <v>AT 330 - Tynk mineralny szary baranek 1,5 mm</v>
      </c>
      <c r="B21" s="187">
        <f>IF(Kalkulator!$L$14=1,J21,K21)</f>
        <v>30.5</v>
      </c>
      <c r="C21" s="188">
        <v>25</v>
      </c>
      <c r="D21" s="189" t="s">
        <v>4</v>
      </c>
      <c r="E21" s="208">
        <f t="shared" si="0"/>
        <v>1.22</v>
      </c>
      <c r="F21" s="195">
        <f>E21*(1-Kalkulator!I$2)*(1+Kalkulator!I$3)</f>
        <v>1.22</v>
      </c>
      <c r="G21" s="221">
        <v>2</v>
      </c>
      <c r="H21" s="46" t="str">
        <f t="shared" si="1"/>
        <v>AG 701 - Grunt pod tynki mineralne</v>
      </c>
      <c r="I21" s="46">
        <v>0.95</v>
      </c>
      <c r="J21" s="71">
        <v>30.5</v>
      </c>
      <c r="K21" s="71">
        <v>6.11</v>
      </c>
    </row>
    <row r="22" spans="1:11" ht="12.75">
      <c r="A22" s="186" t="str">
        <f>Kalkulator!B179</f>
        <v>AT 331 - Tynk mineralny szary kornik 2 mm</v>
      </c>
      <c r="B22" s="187">
        <f>IF(Kalkulator!$L$14=1,J22,K22)</f>
        <v>30.5</v>
      </c>
      <c r="C22" s="188">
        <v>25</v>
      </c>
      <c r="D22" s="189" t="s">
        <v>4</v>
      </c>
      <c r="E22" s="208">
        <f t="shared" si="0"/>
        <v>1.22</v>
      </c>
      <c r="F22" s="195">
        <f>E22*(1-Kalkulator!I$2)*(1+Kalkulator!I$3)</f>
        <v>1.22</v>
      </c>
      <c r="G22" s="221">
        <v>3</v>
      </c>
      <c r="H22" s="46" t="str">
        <f t="shared" si="1"/>
        <v>AG 701 - Grunt pod tynki mineralne</v>
      </c>
      <c r="I22" s="46">
        <v>1</v>
      </c>
      <c r="J22" s="71">
        <v>30.5</v>
      </c>
      <c r="K22" s="71">
        <v>6.11</v>
      </c>
    </row>
    <row r="23" spans="1:11" ht="12.75">
      <c r="A23" s="186" t="str">
        <f>Kalkulator!B180</f>
        <v>AT 332 - Tynk mineralny szary kornik 3 mm</v>
      </c>
      <c r="B23" s="187">
        <f>IF(Kalkulator!$L$14=1,J23,K23)</f>
        <v>30.5</v>
      </c>
      <c r="C23" s="188">
        <v>25</v>
      </c>
      <c r="D23" s="189" t="s">
        <v>4</v>
      </c>
      <c r="E23" s="208">
        <f t="shared" si="0"/>
        <v>1.22</v>
      </c>
      <c r="F23" s="195">
        <f>E23*(1-Kalkulator!I$2)*(1+Kalkulator!I$3)</f>
        <v>1.22</v>
      </c>
      <c r="G23" s="221">
        <v>4</v>
      </c>
      <c r="H23" s="46" t="str">
        <f t="shared" si="1"/>
        <v>AG 701 - Grunt pod tynki mineralne</v>
      </c>
      <c r="I23" s="46">
        <v>1.1</v>
      </c>
      <c r="J23" s="71">
        <v>30.5</v>
      </c>
      <c r="K23" s="71">
        <v>6.11</v>
      </c>
    </row>
    <row r="24" spans="1:11" ht="12.75">
      <c r="A24" s="186" t="str">
        <f>Kalkulator!B181</f>
        <v>AT 336 - Tynk mineralny extra, szary baranek 2 mm</v>
      </c>
      <c r="B24" s="187">
        <f>IF(Kalkulator!$L$14=1,J24,K24)</f>
        <v>36.5</v>
      </c>
      <c r="C24" s="188">
        <v>25</v>
      </c>
      <c r="D24" s="189" t="s">
        <v>4</v>
      </c>
      <c r="E24" s="208">
        <f t="shared" si="0"/>
        <v>1.46</v>
      </c>
      <c r="F24" s="195">
        <f>E24*(1-Kalkulator!I$2)*(1+Kalkulator!I$3)</f>
        <v>1.46</v>
      </c>
      <c r="G24" s="221">
        <v>3</v>
      </c>
      <c r="H24" s="46" t="str">
        <f t="shared" si="1"/>
        <v>AG 701 - Grunt pod tynki mineralne</v>
      </c>
      <c r="I24" s="46">
        <v>1</v>
      </c>
      <c r="J24" s="71">
        <v>36.5</v>
      </c>
      <c r="K24" s="71">
        <v>7.39</v>
      </c>
    </row>
    <row r="25" spans="1:11" ht="12.75">
      <c r="A25" s="186" t="str">
        <f>Kalkulator!B182</f>
        <v>AT 338 - Tynk mineralny extra, szary baranek 3 mm</v>
      </c>
      <c r="B25" s="187">
        <f>IF(Kalkulator!$L$14=1,J25,K25)</f>
        <v>36.5</v>
      </c>
      <c r="C25" s="188">
        <v>25</v>
      </c>
      <c r="D25" s="189" t="s">
        <v>4</v>
      </c>
      <c r="E25" s="208">
        <f t="shared" si="0"/>
        <v>1.46</v>
      </c>
      <c r="F25" s="195">
        <f>E25*(1-Kalkulator!I$2)*(1+Kalkulator!I$3)</f>
        <v>1.46</v>
      </c>
      <c r="G25" s="221">
        <v>4</v>
      </c>
      <c r="H25" s="46" t="str">
        <f t="shared" si="1"/>
        <v>AG 701 - Grunt pod tynki mineralne</v>
      </c>
      <c r="I25" s="46">
        <v>1.1</v>
      </c>
      <c r="J25" s="71">
        <v>36.5</v>
      </c>
      <c r="K25" s="71">
        <v>7.39</v>
      </c>
    </row>
    <row r="26" spans="1:11" ht="12.75">
      <c r="A26" s="186" t="str">
        <f>Kalkulator!B183</f>
        <v>AT 350 - Tynk akrylowy baranek 1 mm</v>
      </c>
      <c r="B26" s="187">
        <f>IF(Kalkulator!$L$14=1,J26,K26)</f>
        <v>145.25</v>
      </c>
      <c r="C26" s="188">
        <v>25</v>
      </c>
      <c r="D26" s="189" t="s">
        <v>4</v>
      </c>
      <c r="E26" s="208">
        <f t="shared" si="0"/>
        <v>5.81</v>
      </c>
      <c r="F26" s="195">
        <f>E26*(1-Kalkulator!I$2)*(1+Kalkulator!I$3)</f>
        <v>5.81</v>
      </c>
      <c r="G26" s="221">
        <v>1.7</v>
      </c>
      <c r="H26" s="46" t="str">
        <f aca="true" t="shared" si="2" ref="H26:H31">$A$8</f>
        <v>AG 705 - Grunt pod tynki akrylowe</v>
      </c>
      <c r="I26" s="46">
        <v>0</v>
      </c>
      <c r="J26" s="71">
        <v>145.25</v>
      </c>
      <c r="K26" s="71">
        <v>30.21</v>
      </c>
    </row>
    <row r="27" spans="1:11" ht="12.75">
      <c r="A27" s="186" t="str">
        <f>Kalkulator!B184</f>
        <v>AT 351 - Tynk akrylowy baranek 1,5 mm</v>
      </c>
      <c r="B27" s="187">
        <f>IF(Kalkulator!$L$14=1,J27,K27)</f>
        <v>145.25</v>
      </c>
      <c r="C27" s="188">
        <v>25</v>
      </c>
      <c r="D27" s="189" t="s">
        <v>4</v>
      </c>
      <c r="E27" s="208">
        <f t="shared" si="0"/>
        <v>5.81</v>
      </c>
      <c r="F27" s="195">
        <f>E27*(1-Kalkulator!I$2)*(1+Kalkulator!I$3)</f>
        <v>5.81</v>
      </c>
      <c r="G27" s="221">
        <v>2.3</v>
      </c>
      <c r="H27" s="46" t="str">
        <f t="shared" si="2"/>
        <v>AG 705 - Grunt pod tynki akrylowe</v>
      </c>
      <c r="I27" s="46">
        <v>0</v>
      </c>
      <c r="J27" s="71">
        <v>145.25</v>
      </c>
      <c r="K27" s="71">
        <v>30.21</v>
      </c>
    </row>
    <row r="28" spans="1:11" ht="12.75">
      <c r="A28" s="186" t="str">
        <f>Kalkulator!B185</f>
        <v>AT 352 - Tynk akrylowy baranek 2 mm</v>
      </c>
      <c r="B28" s="187">
        <f>IF(Kalkulator!$L$14=1,J28,K28)</f>
        <v>145.25</v>
      </c>
      <c r="C28" s="188">
        <v>25</v>
      </c>
      <c r="D28" s="189" t="s">
        <v>4</v>
      </c>
      <c r="E28" s="208">
        <f t="shared" si="0"/>
        <v>5.81</v>
      </c>
      <c r="F28" s="195">
        <f>E28*(1-Kalkulator!I$2)*(1+Kalkulator!I$3)</f>
        <v>5.81</v>
      </c>
      <c r="G28" s="221">
        <v>3</v>
      </c>
      <c r="H28" s="46" t="str">
        <f t="shared" si="2"/>
        <v>AG 705 - Grunt pod tynki akrylowe</v>
      </c>
      <c r="I28" s="46">
        <v>0</v>
      </c>
      <c r="J28" s="71">
        <v>145.25</v>
      </c>
      <c r="K28" s="71">
        <v>30.21</v>
      </c>
    </row>
    <row r="29" spans="1:11" ht="12.75">
      <c r="A29" s="186" t="str">
        <f>Kalkulator!B186</f>
        <v>AT 356 - Tynk akrylowy kornik 1,5 mm</v>
      </c>
      <c r="B29" s="187">
        <f>IF(Kalkulator!$L$14=1,J29,K29)</f>
        <v>145.25</v>
      </c>
      <c r="C29" s="188">
        <v>25</v>
      </c>
      <c r="D29" s="189" t="s">
        <v>4</v>
      </c>
      <c r="E29" s="208">
        <f t="shared" si="0"/>
        <v>5.81</v>
      </c>
      <c r="F29" s="195">
        <f>E29*(1-Kalkulator!I$2)*(1+Kalkulator!I$3)</f>
        <v>5.81</v>
      </c>
      <c r="G29" s="221">
        <v>1.7</v>
      </c>
      <c r="H29" s="46" t="str">
        <f t="shared" si="2"/>
        <v>AG 705 - Grunt pod tynki akrylowe</v>
      </c>
      <c r="I29" s="46">
        <v>0</v>
      </c>
      <c r="J29" s="71">
        <v>145.25</v>
      </c>
      <c r="K29" s="71">
        <v>30.21</v>
      </c>
    </row>
    <row r="30" spans="1:11" ht="12.75">
      <c r="A30" s="186" t="str">
        <f>Kalkulator!B187</f>
        <v>AT 357 - Tynk akrylowy kornik 2 mm</v>
      </c>
      <c r="B30" s="187">
        <f>IF(Kalkulator!$L$14=1,J30,K30)</f>
        <v>145.25</v>
      </c>
      <c r="C30" s="188">
        <v>25</v>
      </c>
      <c r="D30" s="189" t="s">
        <v>4</v>
      </c>
      <c r="E30" s="208">
        <f t="shared" si="0"/>
        <v>5.81</v>
      </c>
      <c r="F30" s="195">
        <f>E30*(1-Kalkulator!I$2)*(1+Kalkulator!I$3)</f>
        <v>5.81</v>
      </c>
      <c r="G30" s="221">
        <v>2.5</v>
      </c>
      <c r="H30" s="46" t="str">
        <f t="shared" si="2"/>
        <v>AG 705 - Grunt pod tynki akrylowe</v>
      </c>
      <c r="I30" s="46">
        <v>0</v>
      </c>
      <c r="J30" s="71">
        <v>145.25</v>
      </c>
      <c r="K30" s="71">
        <v>30.21</v>
      </c>
    </row>
    <row r="31" spans="1:11" ht="12.75">
      <c r="A31" s="186" t="str">
        <f>Kalkulator!B188</f>
        <v>AT 358 - Tynk akrylowy kornik 2,5 mm</v>
      </c>
      <c r="B31" s="187">
        <f>IF(Kalkulator!$L$14=1,J31,K31)</f>
        <v>145.25</v>
      </c>
      <c r="C31" s="188">
        <v>25</v>
      </c>
      <c r="D31" s="189" t="s">
        <v>4</v>
      </c>
      <c r="E31" s="208">
        <f t="shared" si="0"/>
        <v>5.81</v>
      </c>
      <c r="F31" s="195">
        <f>E31*(1-Kalkulator!I$2)*(1+Kalkulator!I$3)</f>
        <v>5.81</v>
      </c>
      <c r="G31" s="221">
        <v>3.6</v>
      </c>
      <c r="H31" s="46" t="str">
        <f t="shared" si="2"/>
        <v>AG 705 - Grunt pod tynki akrylowe</v>
      </c>
      <c r="I31" s="46">
        <v>0</v>
      </c>
      <c r="J31" s="71">
        <v>145.25</v>
      </c>
      <c r="K31" s="71">
        <v>30.21</v>
      </c>
    </row>
    <row r="32" spans="1:11" ht="12.75">
      <c r="A32" s="186" t="str">
        <f>Kalkulator!B189</f>
        <v>AT 370 - Tynk silikatowo-silikonowy baranek 1 mm</v>
      </c>
      <c r="B32" s="187">
        <f>IF(Kalkulator!$L$14=1,J32,K32)</f>
        <v>168.5</v>
      </c>
      <c r="C32" s="188">
        <v>25</v>
      </c>
      <c r="D32" s="189" t="s">
        <v>4</v>
      </c>
      <c r="E32" s="208">
        <f t="shared" si="0"/>
        <v>6.74</v>
      </c>
      <c r="F32" s="195">
        <f>E32*(1-Kalkulator!I$2)*(1+Kalkulator!I$3)</f>
        <v>6.74</v>
      </c>
      <c r="G32" s="221">
        <v>1.7</v>
      </c>
      <c r="H32" s="46" t="str">
        <f aca="true" t="shared" si="3" ref="H32:H37">$A$9</f>
        <v>AG 706 - Grunt pod tynki krzemianowe</v>
      </c>
      <c r="I32" s="46">
        <v>0</v>
      </c>
      <c r="J32" s="71">
        <v>168.5</v>
      </c>
      <c r="K32" s="71">
        <v>34.71</v>
      </c>
    </row>
    <row r="33" spans="1:11" ht="12.75">
      <c r="A33" s="186" t="str">
        <f>Kalkulator!B190</f>
        <v>AT 371 - Tynk silikatowo-silikonowy baranek 1,5 mm</v>
      </c>
      <c r="B33" s="187">
        <f>IF(Kalkulator!$L$14=1,J33,K33)</f>
        <v>168.5</v>
      </c>
      <c r="C33" s="188">
        <v>25</v>
      </c>
      <c r="D33" s="189" t="s">
        <v>4</v>
      </c>
      <c r="E33" s="208">
        <f t="shared" si="0"/>
        <v>6.74</v>
      </c>
      <c r="F33" s="195">
        <f>E33*(1-Kalkulator!I$2)*(1+Kalkulator!I$3)</f>
        <v>6.74</v>
      </c>
      <c r="G33" s="221">
        <v>2.3</v>
      </c>
      <c r="H33" s="46" t="str">
        <f t="shared" si="3"/>
        <v>AG 706 - Grunt pod tynki krzemianowe</v>
      </c>
      <c r="I33" s="46">
        <v>0</v>
      </c>
      <c r="J33" s="71">
        <v>168.5</v>
      </c>
      <c r="K33" s="71">
        <v>34.71</v>
      </c>
    </row>
    <row r="34" spans="1:11" ht="12.75">
      <c r="A34" s="186" t="str">
        <f>Kalkulator!B191</f>
        <v>AT 372 - Tynk silikatowo-silikonowy baranek 2 mm</v>
      </c>
      <c r="B34" s="187">
        <f>IF(Kalkulator!$L$14=1,J34,K34)</f>
        <v>168.5</v>
      </c>
      <c r="C34" s="188">
        <v>25</v>
      </c>
      <c r="D34" s="189" t="s">
        <v>4</v>
      </c>
      <c r="E34" s="208">
        <f t="shared" si="0"/>
        <v>6.74</v>
      </c>
      <c r="F34" s="195">
        <f>E34*(1-Kalkulator!I$2)*(1+Kalkulator!I$3)</f>
        <v>6.74</v>
      </c>
      <c r="G34" s="221">
        <v>3</v>
      </c>
      <c r="H34" s="46" t="str">
        <f t="shared" si="3"/>
        <v>AG 706 - Grunt pod tynki krzemianowe</v>
      </c>
      <c r="I34" s="46">
        <v>0</v>
      </c>
      <c r="J34" s="71">
        <v>168.5</v>
      </c>
      <c r="K34" s="71">
        <v>34.71</v>
      </c>
    </row>
    <row r="35" spans="1:11" ht="12.75">
      <c r="A35" s="186" t="str">
        <f>Kalkulator!B192</f>
        <v>AT 376 - Tynk silikatowo-silikonowy kornik 1,5 mm</v>
      </c>
      <c r="B35" s="187">
        <f>IF(Kalkulator!$L$14=1,J35,K35)</f>
        <v>168.5</v>
      </c>
      <c r="C35" s="188">
        <v>25</v>
      </c>
      <c r="D35" s="189" t="s">
        <v>4</v>
      </c>
      <c r="E35" s="208">
        <f t="shared" si="0"/>
        <v>6.74</v>
      </c>
      <c r="F35" s="195">
        <f>E35*(1-Kalkulator!I$2)*(1+Kalkulator!I$3)</f>
        <v>6.74</v>
      </c>
      <c r="G35" s="221">
        <v>1.7</v>
      </c>
      <c r="H35" s="46" t="str">
        <f t="shared" si="3"/>
        <v>AG 706 - Grunt pod tynki krzemianowe</v>
      </c>
      <c r="I35" s="46">
        <v>0</v>
      </c>
      <c r="J35" s="71">
        <v>168.5</v>
      </c>
      <c r="K35" s="71">
        <v>34.71</v>
      </c>
    </row>
    <row r="36" spans="1:11" ht="12.75">
      <c r="A36" s="186" t="str">
        <f>Kalkulator!B193</f>
        <v>AT 377 - Tynk silikatowo-silikonowy kornik 2 mm</v>
      </c>
      <c r="B36" s="187">
        <f>IF(Kalkulator!$L$14=1,J36,K36)</f>
        <v>168.5</v>
      </c>
      <c r="C36" s="188">
        <v>25</v>
      </c>
      <c r="D36" s="189" t="s">
        <v>4</v>
      </c>
      <c r="E36" s="208">
        <f t="shared" si="0"/>
        <v>6.74</v>
      </c>
      <c r="F36" s="195">
        <f>E36*(1-Kalkulator!I$2)*(1+Kalkulator!I$3)</f>
        <v>6.74</v>
      </c>
      <c r="G36" s="221">
        <v>2.5</v>
      </c>
      <c r="H36" s="46" t="str">
        <f t="shared" si="3"/>
        <v>AG 706 - Grunt pod tynki krzemianowe</v>
      </c>
      <c r="I36" s="46">
        <v>0</v>
      </c>
      <c r="J36" s="71">
        <v>168.5</v>
      </c>
      <c r="K36" s="71">
        <v>34.71</v>
      </c>
    </row>
    <row r="37" spans="1:11" ht="12.75">
      <c r="A37" s="186" t="str">
        <f>Kalkulator!B194</f>
        <v>AT 378 - Tynk silikatowo-silikonowy kornik 2,5 mm</v>
      </c>
      <c r="B37" s="187">
        <f>IF(Kalkulator!$L$14=1,J37,K37)</f>
        <v>168.5</v>
      </c>
      <c r="C37" s="188">
        <v>25</v>
      </c>
      <c r="D37" s="189" t="s">
        <v>4</v>
      </c>
      <c r="E37" s="208">
        <f t="shared" si="0"/>
        <v>6.74</v>
      </c>
      <c r="F37" s="195">
        <f>E37*(1-Kalkulator!I$2)*(1+Kalkulator!I$3)</f>
        <v>6.74</v>
      </c>
      <c r="G37" s="221">
        <v>3.6</v>
      </c>
      <c r="H37" s="46" t="str">
        <f t="shared" si="3"/>
        <v>AG 706 - Grunt pod tynki krzemianowe</v>
      </c>
      <c r="I37" s="46">
        <v>0</v>
      </c>
      <c r="J37" s="71">
        <v>168.5</v>
      </c>
      <c r="K37" s="71">
        <v>34.71</v>
      </c>
    </row>
    <row r="38" spans="1:11" ht="12.75">
      <c r="A38" s="186" t="str">
        <f>Kalkulator!B195</f>
        <v>AT 390 - Tynk mozaikowy naturalny 1,2 mm</v>
      </c>
      <c r="B38" s="187">
        <f>IF(Kalkulator!$L$14=1,J38,K38)</f>
        <v>216.5</v>
      </c>
      <c r="C38" s="188">
        <v>25</v>
      </c>
      <c r="D38" s="189" t="s">
        <v>4</v>
      </c>
      <c r="E38" s="208">
        <f t="shared" si="0"/>
        <v>8.66</v>
      </c>
      <c r="F38" s="195">
        <f>E38*(1-Kalkulator!I$2)*(1+Kalkulator!I$3)</f>
        <v>8.66</v>
      </c>
      <c r="G38" s="221">
        <v>3.5</v>
      </c>
      <c r="H38" s="46" t="str">
        <f>$A$8</f>
        <v>AG 705 - Grunt pod tynki akrylowe</v>
      </c>
      <c r="I38" s="46">
        <v>0</v>
      </c>
      <c r="J38" s="71">
        <v>216.5</v>
      </c>
      <c r="K38" s="71">
        <v>46.39</v>
      </c>
    </row>
    <row r="39" spans="1:11" ht="12.75">
      <c r="A39" s="186" t="str">
        <f>Kalkulator!B196</f>
        <v>AT 391 - Tynk mozaikowy naturalny 2,5 mm</v>
      </c>
      <c r="B39" s="187">
        <f>IF(Kalkulator!$L$14=1,J39,K39)</f>
        <v>216.5</v>
      </c>
      <c r="C39" s="188">
        <v>25</v>
      </c>
      <c r="D39" s="189" t="s">
        <v>4</v>
      </c>
      <c r="E39" s="208">
        <f t="shared" si="0"/>
        <v>8.66</v>
      </c>
      <c r="F39" s="195">
        <f>E39*(1-Kalkulator!I$2)*(1+Kalkulator!I$3)</f>
        <v>8.66</v>
      </c>
      <c r="G39" s="221">
        <v>5.5</v>
      </c>
      <c r="H39" s="46" t="str">
        <f>$A$8</f>
        <v>AG 705 - Grunt pod tynki akrylowe</v>
      </c>
      <c r="I39" s="46">
        <v>0</v>
      </c>
      <c r="J39" s="71">
        <v>216.5</v>
      </c>
      <c r="K39" s="71">
        <v>46.39</v>
      </c>
    </row>
    <row r="40" spans="1:11" ht="12.75">
      <c r="A40" s="186" t="str">
        <f>Kalkulator!B197</f>
        <v>AT 397 - Tynk mozaikowy barwiony 2,5 mm</v>
      </c>
      <c r="B40" s="187">
        <f>IF(Kalkulator!$L$14=1,J40,K40)</f>
        <v>192.5</v>
      </c>
      <c r="C40" s="188">
        <v>25</v>
      </c>
      <c r="D40" s="189" t="s">
        <v>4</v>
      </c>
      <c r="E40" s="208">
        <f t="shared" si="0"/>
        <v>7.7</v>
      </c>
      <c r="F40" s="195">
        <f>E40*(1-Kalkulator!I$2)*(1+Kalkulator!I$3)</f>
        <v>7.7</v>
      </c>
      <c r="G40" s="221">
        <v>5.5</v>
      </c>
      <c r="H40" s="46" t="str">
        <f>$A$8</f>
        <v>AG 705 - Grunt pod tynki akrylowe</v>
      </c>
      <c r="I40" s="46">
        <v>0</v>
      </c>
      <c r="J40" s="71">
        <v>192.5</v>
      </c>
      <c r="K40" s="71">
        <v>41.25</v>
      </c>
    </row>
    <row r="41" spans="1:11" ht="12.75">
      <c r="A41" s="186" t="str">
        <f>Kalkulator!B198</f>
        <v>AT 397 Express - Tynk mozaikowy barwiony 1,6 mm</v>
      </c>
      <c r="B41" s="187">
        <f>IF(Kalkulator!$L$14=1,J41,K41)</f>
        <v>192.5</v>
      </c>
      <c r="C41" s="188">
        <v>25</v>
      </c>
      <c r="D41" s="189" t="s">
        <v>4</v>
      </c>
      <c r="E41" s="208">
        <f t="shared" si="0"/>
        <v>7.7</v>
      </c>
      <c r="F41" s="195">
        <f>E41*(1-Kalkulator!I$2)*(1+Kalkulator!I$3)</f>
        <v>7.7</v>
      </c>
      <c r="G41" s="221">
        <v>4</v>
      </c>
      <c r="H41" s="46" t="str">
        <f>$A$8</f>
        <v>AG 705 - Grunt pod tynki akrylowe</v>
      </c>
      <c r="I41" s="46">
        <v>0</v>
      </c>
      <c r="J41" s="71">
        <v>192.5</v>
      </c>
      <c r="K41" s="71">
        <v>41.25</v>
      </c>
    </row>
    <row r="42" spans="1:11" ht="12.75">
      <c r="A42" s="202" t="str">
        <f>Kalkulator!B199</f>
        <v>ALPOL 145 - siatka z włókna szklanego</v>
      </c>
      <c r="B42" s="187">
        <f>IF(Kalkulator!$L$14=1,J42,K42)</f>
        <v>105</v>
      </c>
      <c r="C42" s="188">
        <v>50</v>
      </c>
      <c r="D42" s="189" t="s">
        <v>3</v>
      </c>
      <c r="E42" s="208">
        <f>B42/C42</f>
        <v>2.1</v>
      </c>
      <c r="F42" s="195">
        <f>E42*(1-Kalkulator!I$2)*(1+Kalkulator!I$3)</f>
        <v>2.1</v>
      </c>
      <c r="G42" s="221">
        <v>1.1</v>
      </c>
      <c r="H42" s="46"/>
      <c r="I42" s="46">
        <v>0</v>
      </c>
      <c r="J42" s="203">
        <v>105</v>
      </c>
      <c r="K42" s="203">
        <v>21.21</v>
      </c>
    </row>
    <row r="43" spans="1:11" ht="12.75">
      <c r="A43" s="190" t="str">
        <f>Kalkulator!B200</f>
        <v>VERTEX AKE 145A - siatka z włókna szklanego</v>
      </c>
      <c r="B43" s="191">
        <f>IF(Kalkulator!$L$14=1,J43,K43)</f>
        <v>231</v>
      </c>
      <c r="C43" s="192">
        <v>55</v>
      </c>
      <c r="D43" s="193" t="s">
        <v>3</v>
      </c>
      <c r="E43" s="209">
        <f t="shared" si="0"/>
        <v>4.2</v>
      </c>
      <c r="F43" s="210">
        <f>E43*(1-Kalkulator!I$2)*(1+Kalkulator!I$3)</f>
        <v>4.2</v>
      </c>
      <c r="G43" s="222">
        <v>1.1</v>
      </c>
      <c r="H43" s="47"/>
      <c r="I43" s="47">
        <v>0</v>
      </c>
      <c r="J43" s="134">
        <v>231</v>
      </c>
      <c r="K43" s="134">
        <v>36.21</v>
      </c>
    </row>
    <row r="44" spans="1:9" ht="12.75">
      <c r="A44" s="17"/>
      <c r="B44" s="48"/>
      <c r="C44" s="49"/>
      <c r="D44" s="50"/>
      <c r="E44" s="48"/>
      <c r="F44" s="48"/>
      <c r="G44" s="48"/>
      <c r="H44" s="17"/>
      <c r="I44" s="17"/>
    </row>
    <row r="45" spans="1:9" ht="12.75" hidden="1">
      <c r="A45" s="139" t="s">
        <v>36</v>
      </c>
      <c r="B45" s="140">
        <v>0.22</v>
      </c>
      <c r="E45" s="211" t="s">
        <v>10</v>
      </c>
      <c r="F45" s="212"/>
      <c r="H45" s="55"/>
      <c r="I45" s="56" t="s">
        <v>13</v>
      </c>
    </row>
    <row r="46" spans="5:9" ht="12.75" hidden="1">
      <c r="E46" s="223">
        <f ca="1">TODAY()</f>
        <v>40291</v>
      </c>
      <c r="F46" s="213"/>
      <c r="H46" s="57" t="s">
        <v>11</v>
      </c>
      <c r="I46" s="56" t="s">
        <v>12</v>
      </c>
    </row>
    <row r="47" spans="1:9" ht="12.75" hidden="1">
      <c r="A47" s="51" t="s">
        <v>6</v>
      </c>
      <c r="B47" s="106" t="s">
        <v>8</v>
      </c>
      <c r="E47" s="214"/>
      <c r="F47" s="214"/>
      <c r="H47" s="55" t="str">
        <f>Kalkulator!B96</f>
        <v>beton</v>
      </c>
      <c r="I47" s="58">
        <v>5</v>
      </c>
    </row>
    <row r="48" spans="1:9" ht="12.75" hidden="1">
      <c r="A48" s="52" t="str">
        <f>Kalkulator!B121</f>
        <v>grupa I - kolory pastelowe (bez dopłaty)</v>
      </c>
      <c r="B48" s="107">
        <v>0</v>
      </c>
      <c r="E48" s="211" t="s">
        <v>28</v>
      </c>
      <c r="F48" s="215">
        <f>IF(Kalkulator!I1=E50,(1+B45),1)</f>
        <v>1</v>
      </c>
      <c r="H48" s="55" t="str">
        <f>Kalkulator!B97</f>
        <v>cegła pełna</v>
      </c>
      <c r="I48" s="58">
        <v>5</v>
      </c>
    </row>
    <row r="49" spans="1:9" ht="12.75" hidden="1">
      <c r="A49" s="52" t="str">
        <f>Kalkulator!B122</f>
        <v>grupa II - kolory intensywne (dopłata 10%)</v>
      </c>
      <c r="B49" s="107">
        <v>0.1</v>
      </c>
      <c r="E49" s="215" t="str">
        <f>Kalkulator!B69</f>
        <v>netto</v>
      </c>
      <c r="H49" s="55" t="str">
        <f>Kalkulator!B98</f>
        <v>cegła ceramiczna szczelinowa</v>
      </c>
      <c r="I49" s="58">
        <v>8</v>
      </c>
    </row>
    <row r="50" spans="1:9" ht="12.75" hidden="1">
      <c r="A50" s="52" t="str">
        <f>Kalkulator!B123</f>
        <v>grupa III - kolory nasycone (dopłata 30%)</v>
      </c>
      <c r="B50" s="107">
        <v>0.3</v>
      </c>
      <c r="E50" s="215" t="str">
        <f>Kalkulator!B70</f>
        <v>brutto</v>
      </c>
      <c r="H50" s="55" t="str">
        <f>Kalkulator!B99</f>
        <v>cegła silikatowa szczelinowa</v>
      </c>
      <c r="I50" s="58">
        <v>8</v>
      </c>
    </row>
    <row r="51" spans="1:9" ht="12.75" hidden="1">
      <c r="A51" s="52" t="str">
        <f>Kalkulator!B124</f>
        <v>grupa IV - wycena indywidualna</v>
      </c>
      <c r="B51" s="107">
        <v>0</v>
      </c>
      <c r="H51" s="55" t="str">
        <f>Kalkulator!B100</f>
        <v>pustak z ceramiki poryzowanej</v>
      </c>
      <c r="I51" s="58">
        <v>8</v>
      </c>
    </row>
    <row r="52" spans="5:9" ht="12.75" hidden="1">
      <c r="E52" s="216" t="s">
        <v>19</v>
      </c>
      <c r="F52" s="217"/>
      <c r="H52" s="55" t="str">
        <f>Kalkulator!B101</f>
        <v>pustak z betonu lekkiego</v>
      </c>
      <c r="I52" s="58">
        <v>8</v>
      </c>
    </row>
    <row r="53" spans="1:9" ht="12.75" hidden="1">
      <c r="A53" s="53" t="s">
        <v>7</v>
      </c>
      <c r="B53" s="104" t="s">
        <v>8</v>
      </c>
      <c r="E53" s="218" t="s">
        <v>20</v>
      </c>
      <c r="F53" s="212"/>
      <c r="H53" s="55" t="str">
        <f>Kalkulator!B102</f>
        <v>bloczki z betonu komórkowego</v>
      </c>
      <c r="I53" s="58">
        <v>8</v>
      </c>
    </row>
    <row r="54" spans="1:6" ht="12.75" hidden="1">
      <c r="A54" s="54" t="str">
        <f>Kalkulator!B125</f>
        <v>biały - bez dopłaty</v>
      </c>
      <c r="B54" s="105">
        <v>0</v>
      </c>
      <c r="E54" s="219">
        <v>0</v>
      </c>
      <c r="F54" s="220"/>
    </row>
    <row r="55" spans="1:10" ht="12.75" hidden="1">
      <c r="A55" s="54" t="str">
        <f>Kalkulator!B126</f>
        <v>grupa I - kolory pastelowe (dopłata 10%)</v>
      </c>
      <c r="B55" s="105">
        <v>0.1</v>
      </c>
      <c r="E55" s="219">
        <v>1</v>
      </c>
      <c r="F55" s="220"/>
      <c r="H55" s="59"/>
      <c r="I55" s="60" t="s">
        <v>15</v>
      </c>
      <c r="J55" s="60" t="s">
        <v>17</v>
      </c>
    </row>
    <row r="56" spans="1:10" ht="12.75" hidden="1">
      <c r="A56" s="54" t="str">
        <f>Kalkulator!B127</f>
        <v>grupa II - kolory intensywne (dopłata 20%)</v>
      </c>
      <c r="B56" s="105">
        <v>0.2</v>
      </c>
      <c r="E56" s="219">
        <v>2</v>
      </c>
      <c r="F56" s="220"/>
      <c r="H56" s="61" t="s">
        <v>14</v>
      </c>
      <c r="I56" s="60" t="s">
        <v>16</v>
      </c>
      <c r="J56" s="60" t="s">
        <v>18</v>
      </c>
    </row>
    <row r="57" spans="1:10" ht="12.75" hidden="1">
      <c r="A57" s="54" t="str">
        <f>Kalkulator!B128</f>
        <v>grupa III - kolory nasycone (dopłata 40%)</v>
      </c>
      <c r="B57" s="105">
        <v>0.4</v>
      </c>
      <c r="E57" s="219">
        <v>3</v>
      </c>
      <c r="F57" s="220"/>
      <c r="H57" s="59" t="str">
        <f>Kalkulator!B89</f>
        <v>bez tynku - wysokość do 8 m.</v>
      </c>
      <c r="I57" s="59">
        <v>4</v>
      </c>
      <c r="J57" s="59">
        <v>0</v>
      </c>
    </row>
    <row r="58" spans="1:10" ht="12.75" hidden="1">
      <c r="A58" s="54" t="str">
        <f>Kalkulator!B129</f>
        <v>grupa IV - wycena indywidualna</v>
      </c>
      <c r="B58" s="105">
        <v>0</v>
      </c>
      <c r="E58" s="219">
        <v>4</v>
      </c>
      <c r="F58" s="220"/>
      <c r="H58" s="59" t="str">
        <f>Kalkulator!B90</f>
        <v>bez tynku - wysokość od 8 do 20 m.</v>
      </c>
      <c r="I58" s="59">
        <v>6</v>
      </c>
      <c r="J58" s="59">
        <v>0</v>
      </c>
    </row>
    <row r="59" spans="5:10" ht="12.75" hidden="1">
      <c r="E59" s="219">
        <v>5</v>
      </c>
      <c r="F59" s="220"/>
      <c r="H59" s="59" t="str">
        <f>Kalkulator!B91</f>
        <v>bez tynku - wysokość od 20 do 25 m.</v>
      </c>
      <c r="I59" s="59">
        <v>8</v>
      </c>
      <c r="J59" s="59">
        <v>0</v>
      </c>
    </row>
    <row r="60" spans="5:10" ht="12.75" hidden="1">
      <c r="E60" s="219">
        <v>6</v>
      </c>
      <c r="F60" s="220"/>
      <c r="H60" s="59" t="str">
        <f>Kalkulator!B92</f>
        <v>z tynkiem - wysokość do 8m.</v>
      </c>
      <c r="I60" s="59">
        <v>4</v>
      </c>
      <c r="J60" s="59">
        <v>2</v>
      </c>
    </row>
    <row r="61" spans="5:10" ht="12.75" hidden="1">
      <c r="E61" s="219">
        <v>7</v>
      </c>
      <c r="F61" s="220"/>
      <c r="H61" s="59" t="str">
        <f>Kalkulator!B93</f>
        <v>z tynkiem - wysokość od 8 do 20 m.</v>
      </c>
      <c r="I61" s="59">
        <v>6</v>
      </c>
      <c r="J61" s="59">
        <v>2</v>
      </c>
    </row>
    <row r="62" spans="5:10" ht="12.75" hidden="1">
      <c r="E62" s="219">
        <v>8</v>
      </c>
      <c r="F62" s="220"/>
      <c r="H62" s="59" t="str">
        <f>Kalkulator!B94</f>
        <v>z tynkiem - wysokość od 20 do 25 m.</v>
      </c>
      <c r="I62" s="59">
        <v>8</v>
      </c>
      <c r="J62" s="59">
        <v>2</v>
      </c>
    </row>
    <row r="63" spans="5:6" ht="12.75">
      <c r="E63" s="219">
        <v>9</v>
      </c>
      <c r="F63" s="220"/>
    </row>
    <row r="64" spans="5:6" ht="12.75">
      <c r="E64" s="219">
        <v>10</v>
      </c>
      <c r="F64" s="220"/>
    </row>
    <row r="65" spans="5:6" ht="12.75">
      <c r="E65" s="219">
        <v>11</v>
      </c>
      <c r="F65" s="220"/>
    </row>
    <row r="66" spans="5:6" ht="12.75">
      <c r="E66" s="219">
        <v>12</v>
      </c>
      <c r="F66" s="220"/>
    </row>
    <row r="67" spans="5:6" ht="12.75">
      <c r="E67" s="219">
        <v>13</v>
      </c>
      <c r="F67" s="220"/>
    </row>
    <row r="68" spans="5:6" ht="12.75">
      <c r="E68" s="219">
        <v>14</v>
      </c>
      <c r="F68" s="220"/>
    </row>
    <row r="69" spans="5:6" ht="12.75">
      <c r="E69" s="219">
        <v>15</v>
      </c>
      <c r="F69" s="220"/>
    </row>
    <row r="70" spans="5:6" ht="12.75">
      <c r="E70" s="219">
        <v>16</v>
      </c>
      <c r="F70" s="220"/>
    </row>
    <row r="71" spans="5:6" ht="12.75">
      <c r="E71" s="219">
        <v>17</v>
      </c>
      <c r="F71" s="220"/>
    </row>
    <row r="72" spans="5:6" ht="12.75">
      <c r="E72" s="219">
        <v>18</v>
      </c>
      <c r="F72" s="220"/>
    </row>
    <row r="73" spans="5:6" ht="12.75">
      <c r="E73" s="219">
        <v>19</v>
      </c>
      <c r="F73" s="220"/>
    </row>
    <row r="74" spans="5:6" ht="12.75">
      <c r="E74" s="219">
        <v>20</v>
      </c>
      <c r="F74" s="220"/>
    </row>
    <row r="86" spans="2:3" ht="12.75">
      <c r="B86" s="1"/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</sheetData>
  <sheetProtection password="F71C" sheet="1" objects="1" scenarios="1" selectLockedCells="1"/>
  <protectedRanges>
    <protectedRange password="C5F8" sqref="E52:F52 E46:F47" name="Zakres1"/>
  </protectedRanges>
  <mergeCells count="3">
    <mergeCell ref="A1:A2"/>
    <mergeCell ref="L1:L2"/>
    <mergeCell ref="M1:M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Alpol Gips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 Zalewski</dc:creator>
  <cp:keywords/>
  <dc:description/>
  <cp:lastModifiedBy>szalewski</cp:lastModifiedBy>
  <cp:lastPrinted>2009-07-22T09:35:09Z</cp:lastPrinted>
  <dcterms:created xsi:type="dcterms:W3CDTF">2007-03-05T13:47:34Z</dcterms:created>
  <dcterms:modified xsi:type="dcterms:W3CDTF">2010-04-23T14:09:38Z</dcterms:modified>
  <cp:category/>
  <cp:version/>
  <cp:contentType/>
  <cp:contentStatus/>
</cp:coreProperties>
</file>